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255" windowWidth="15480" windowHeight="10245" tabRatio="774"/>
  </bookViews>
  <sheets>
    <sheet name="Diesel Pivot" sheetId="9" r:id="rId1"/>
    <sheet name="Nat Gas Pivot" sheetId="16" r:id="rId2"/>
    <sheet name="LP Pivot" sheetId="17" r:id="rId3"/>
    <sheet name="Elect Pivot" sheetId="18" r:id="rId4"/>
    <sheet name="Diesel Gated" sheetId="19" r:id="rId5"/>
    <sheet name="Nat Gas Gated" sheetId="20" r:id="rId6"/>
    <sheet name="LP Gated " sheetId="21" r:id="rId7"/>
    <sheet name="Elect Gated" sheetId="22" r:id="rId8"/>
  </sheets>
  <definedNames>
    <definedName name="_xlnm.Print_Area" localSheetId="4">'Diesel Gated'!$A$1:$L$40</definedName>
    <definedName name="_xlnm.Print_Area" localSheetId="0">'Diesel Pivot'!$A$1:$L$40</definedName>
    <definedName name="_xlnm.Print_Area" localSheetId="7">'Elect Gated'!$A$1:$L$40</definedName>
    <definedName name="_xlnm.Print_Area" localSheetId="3">'Elect Pivot'!$A$1:$L$40</definedName>
    <definedName name="_xlnm.Print_Area" localSheetId="6">'LP Gated '!$A$1:$L$40</definedName>
    <definedName name="_xlnm.Print_Area" localSheetId="2">'LP Pivot'!$A$1:$L$40</definedName>
    <definedName name="_xlnm.Print_Area" localSheetId="5">'Nat Gas Gated'!$A$1:$L$40</definedName>
    <definedName name="_xlnm.Print_Area" localSheetId="1">'Nat Gas Pivot'!$A$1:$L$40</definedName>
  </definedNames>
  <calcPr calcId="125725"/>
</workbook>
</file>

<file path=xl/calcChain.xml><?xml version="1.0" encoding="utf-8"?>
<calcChain xmlns="http://schemas.openxmlformats.org/spreadsheetml/2006/main">
  <c r="E28" i="22"/>
  <c r="E27"/>
  <c r="E26"/>
  <c r="E25"/>
  <c r="E24"/>
  <c r="E23"/>
  <c r="E22"/>
  <c r="E28" i="21"/>
  <c r="E27"/>
  <c r="E26"/>
  <c r="E25"/>
  <c r="E24"/>
  <c r="E23"/>
  <c r="E22"/>
  <c r="E28" i="20"/>
  <c r="E27"/>
  <c r="E26"/>
  <c r="E25"/>
  <c r="E24"/>
  <c r="E23"/>
  <c r="E22"/>
  <c r="E28" i="19"/>
  <c r="E27"/>
  <c r="E26"/>
  <c r="E25"/>
  <c r="E24"/>
  <c r="E23"/>
  <c r="E22"/>
  <c r="E22" i="9"/>
  <c r="E28" i="18"/>
  <c r="D28"/>
  <c r="C28"/>
  <c r="D27"/>
  <c r="E27"/>
  <c r="C27"/>
  <c r="E26"/>
  <c r="D26"/>
  <c r="C26"/>
  <c r="D25"/>
  <c r="E25"/>
  <c r="D24"/>
  <c r="E24"/>
  <c r="D23"/>
  <c r="E23"/>
  <c r="D22"/>
  <c r="E22"/>
  <c r="E28" i="17"/>
  <c r="E27"/>
  <c r="E26"/>
  <c r="E25"/>
  <c r="E24"/>
  <c r="E23"/>
  <c r="E22"/>
  <c r="E28" i="16"/>
  <c r="E27"/>
  <c r="E26"/>
  <c r="E25"/>
  <c r="E24"/>
  <c r="E23"/>
  <c r="E22"/>
  <c r="E28" i="9"/>
  <c r="E26"/>
  <c r="E25"/>
  <c r="E24"/>
  <c r="E23"/>
  <c r="A18" i="18"/>
  <c r="E14" i="9"/>
  <c r="E14" i="16"/>
  <c r="E14" i="17"/>
  <c r="E14" i="18"/>
  <c r="E14" i="19"/>
  <c r="E14" i="20"/>
  <c r="E14" i="21"/>
  <c r="E14" i="22"/>
  <c r="K22"/>
  <c r="K22" i="21"/>
  <c r="K22" i="20"/>
  <c r="K22" i="19"/>
  <c r="K22" i="17"/>
  <c r="K22" i="16"/>
  <c r="K22" i="9"/>
  <c r="K24"/>
  <c r="K23"/>
  <c r="K24" i="16"/>
  <c r="K23"/>
  <c r="K24" i="17"/>
  <c r="K23"/>
  <c r="B18" i="18"/>
  <c r="K26"/>
  <c r="K23"/>
  <c r="K22"/>
  <c r="K24" i="19"/>
  <c r="K23"/>
  <c r="K24" i="20"/>
  <c r="K23"/>
  <c r="K24" i="21"/>
  <c r="K23"/>
  <c r="B18" i="22"/>
  <c r="K26"/>
  <c r="K23"/>
  <c r="K12"/>
  <c r="J26"/>
  <c r="I27" i="9"/>
  <c r="A28" i="19"/>
  <c r="J21" i="9"/>
  <c r="A12" i="22"/>
  <c r="A12" i="21"/>
  <c r="A12" i="20"/>
  <c r="A12" i="19"/>
  <c r="A12" i="18"/>
  <c r="A12" i="17"/>
  <c r="A12" i="16"/>
  <c r="A12" i="9"/>
  <c r="J21" i="16"/>
  <c r="J21" i="22"/>
  <c r="E12"/>
  <c r="E13"/>
  <c r="K13"/>
  <c r="K14"/>
  <c r="K15"/>
  <c r="K16"/>
  <c r="A18"/>
  <c r="D22"/>
  <c r="G22"/>
  <c r="F22"/>
  <c r="H22"/>
  <c r="I22"/>
  <c r="J22"/>
  <c r="D23"/>
  <c r="G23"/>
  <c r="L23"/>
  <c r="F23"/>
  <c r="H23"/>
  <c r="I23"/>
  <c r="D24"/>
  <c r="G24"/>
  <c r="F24"/>
  <c r="H24"/>
  <c r="I24"/>
  <c r="D25"/>
  <c r="G25"/>
  <c r="L25"/>
  <c r="F25"/>
  <c r="H25"/>
  <c r="I25"/>
  <c r="A26"/>
  <c r="C26"/>
  <c r="D26"/>
  <c r="G26"/>
  <c r="F26"/>
  <c r="I26"/>
  <c r="A27"/>
  <c r="C27"/>
  <c r="D27"/>
  <c r="F27"/>
  <c r="G27"/>
  <c r="L27"/>
  <c r="H27"/>
  <c r="I27"/>
  <c r="K27"/>
  <c r="A28"/>
  <c r="C28"/>
  <c r="D28"/>
  <c r="F28"/>
  <c r="G28"/>
  <c r="H28"/>
  <c r="I28"/>
  <c r="L28"/>
  <c r="J28"/>
  <c r="K28"/>
  <c r="A29"/>
  <c r="L29"/>
  <c r="F30"/>
  <c r="L30"/>
  <c r="B31"/>
  <c r="D31"/>
  <c r="F31"/>
  <c r="I31"/>
  <c r="J21" i="21"/>
  <c r="E12"/>
  <c r="K12"/>
  <c r="J26"/>
  <c r="E13"/>
  <c r="K13"/>
  <c r="K14"/>
  <c r="K15"/>
  <c r="A26"/>
  <c r="K16"/>
  <c r="A18"/>
  <c r="B18"/>
  <c r="D22"/>
  <c r="G22"/>
  <c r="F22"/>
  <c r="H22"/>
  <c r="I22"/>
  <c r="J22"/>
  <c r="D23"/>
  <c r="G23"/>
  <c r="L23"/>
  <c r="F23"/>
  <c r="H23"/>
  <c r="I23"/>
  <c r="D24"/>
  <c r="G24"/>
  <c r="L24"/>
  <c r="F24"/>
  <c r="H24"/>
  <c r="I24"/>
  <c r="D25"/>
  <c r="G25"/>
  <c r="L25"/>
  <c r="F25"/>
  <c r="H25"/>
  <c r="I25"/>
  <c r="C26"/>
  <c r="D26"/>
  <c r="G26"/>
  <c r="F26"/>
  <c r="I26"/>
  <c r="I31"/>
  <c r="A27"/>
  <c r="C27"/>
  <c r="D27"/>
  <c r="F27"/>
  <c r="H27"/>
  <c r="I27"/>
  <c r="K27"/>
  <c r="A28"/>
  <c r="C28"/>
  <c r="D28"/>
  <c r="G28"/>
  <c r="L28"/>
  <c r="F28"/>
  <c r="H28"/>
  <c r="I28"/>
  <c r="J28"/>
  <c r="K28"/>
  <c r="A29"/>
  <c r="L29"/>
  <c r="F30"/>
  <c r="L30"/>
  <c r="B31"/>
  <c r="D31"/>
  <c r="F31"/>
  <c r="J28" i="20"/>
  <c r="A28"/>
  <c r="E12"/>
  <c r="I27"/>
  <c r="I31"/>
  <c r="K12"/>
  <c r="J26"/>
  <c r="E13"/>
  <c r="C27"/>
  <c r="K13"/>
  <c r="K14"/>
  <c r="K15"/>
  <c r="K16"/>
  <c r="A18"/>
  <c r="B18"/>
  <c r="J21"/>
  <c r="D22"/>
  <c r="G22"/>
  <c r="F22"/>
  <c r="H22"/>
  <c r="I22"/>
  <c r="J22"/>
  <c r="D23"/>
  <c r="G23"/>
  <c r="L23"/>
  <c r="F23"/>
  <c r="H23"/>
  <c r="I23"/>
  <c r="D24"/>
  <c r="G24"/>
  <c r="L24"/>
  <c r="F24"/>
  <c r="F31"/>
  <c r="H24"/>
  <c r="I24"/>
  <c r="D25"/>
  <c r="G25"/>
  <c r="L25"/>
  <c r="F25"/>
  <c r="H25"/>
  <c r="I25"/>
  <c r="A26"/>
  <c r="C26"/>
  <c r="D26"/>
  <c r="F26"/>
  <c r="G26"/>
  <c r="I26"/>
  <c r="A27"/>
  <c r="D27"/>
  <c r="F27"/>
  <c r="H27"/>
  <c r="K27"/>
  <c r="C28"/>
  <c r="D28"/>
  <c r="F28"/>
  <c r="G28"/>
  <c r="H28"/>
  <c r="I28"/>
  <c r="A29"/>
  <c r="L29"/>
  <c r="F30"/>
  <c r="L30"/>
  <c r="B31"/>
  <c r="E12" i="19"/>
  <c r="I27"/>
  <c r="I31"/>
  <c r="K12"/>
  <c r="J26"/>
  <c r="E13"/>
  <c r="C27"/>
  <c r="K13"/>
  <c r="K14"/>
  <c r="K15"/>
  <c r="K16"/>
  <c r="A18"/>
  <c r="B18"/>
  <c r="J21"/>
  <c r="D22"/>
  <c r="G22"/>
  <c r="F22"/>
  <c r="H22"/>
  <c r="I22"/>
  <c r="J22"/>
  <c r="D23"/>
  <c r="G23"/>
  <c r="L23"/>
  <c r="F23"/>
  <c r="H23"/>
  <c r="I23"/>
  <c r="D24"/>
  <c r="G24"/>
  <c r="L24"/>
  <c r="F24"/>
  <c r="F31"/>
  <c r="H24"/>
  <c r="I24"/>
  <c r="D25"/>
  <c r="G25"/>
  <c r="L25"/>
  <c r="F25"/>
  <c r="H25"/>
  <c r="I25"/>
  <c r="A26"/>
  <c r="C26"/>
  <c r="D26"/>
  <c r="F26"/>
  <c r="G26"/>
  <c r="I26"/>
  <c r="A27"/>
  <c r="D27"/>
  <c r="F27"/>
  <c r="H27"/>
  <c r="K27"/>
  <c r="C28"/>
  <c r="D28"/>
  <c r="F28"/>
  <c r="G28"/>
  <c r="H28"/>
  <c r="I28"/>
  <c r="A29"/>
  <c r="L29"/>
  <c r="F30"/>
  <c r="L30"/>
  <c r="B31"/>
  <c r="J21" i="18"/>
  <c r="E12"/>
  <c r="K12"/>
  <c r="J26"/>
  <c r="E13"/>
  <c r="K13"/>
  <c r="K14"/>
  <c r="K15"/>
  <c r="A26"/>
  <c r="K16"/>
  <c r="G22"/>
  <c r="F22"/>
  <c r="H22"/>
  <c r="I22"/>
  <c r="J22"/>
  <c r="G23"/>
  <c r="F23"/>
  <c r="H23"/>
  <c r="I23"/>
  <c r="G24"/>
  <c r="F24"/>
  <c r="H24"/>
  <c r="I24"/>
  <c r="G25"/>
  <c r="F25"/>
  <c r="H25"/>
  <c r="I25"/>
  <c r="G26"/>
  <c r="F26"/>
  <c r="I26"/>
  <c r="A27"/>
  <c r="G27"/>
  <c r="F27"/>
  <c r="H27"/>
  <c r="I27"/>
  <c r="K27"/>
  <c r="A28"/>
  <c r="F28"/>
  <c r="F31"/>
  <c r="G28"/>
  <c r="H28"/>
  <c r="I28"/>
  <c r="K28"/>
  <c r="A29"/>
  <c r="L29"/>
  <c r="F30"/>
  <c r="L30"/>
  <c r="B31"/>
  <c r="D31"/>
  <c r="J21" i="17"/>
  <c r="E12"/>
  <c r="K12"/>
  <c r="J26"/>
  <c r="E13"/>
  <c r="K13"/>
  <c r="K14"/>
  <c r="C26"/>
  <c r="K15"/>
  <c r="K16"/>
  <c r="A18"/>
  <c r="B18"/>
  <c r="D22"/>
  <c r="G22"/>
  <c r="F22"/>
  <c r="F31"/>
  <c r="H22"/>
  <c r="I22"/>
  <c r="J22"/>
  <c r="D23"/>
  <c r="G23"/>
  <c r="L23"/>
  <c r="F23"/>
  <c r="H23"/>
  <c r="I23"/>
  <c r="D24"/>
  <c r="G24"/>
  <c r="F24"/>
  <c r="H24"/>
  <c r="I24"/>
  <c r="D25"/>
  <c r="G25"/>
  <c r="L25"/>
  <c r="F25"/>
  <c r="H25"/>
  <c r="I25"/>
  <c r="A26"/>
  <c r="D26"/>
  <c r="G26"/>
  <c r="F26"/>
  <c r="I26"/>
  <c r="A27"/>
  <c r="C27"/>
  <c r="D27"/>
  <c r="G27"/>
  <c r="L27"/>
  <c r="F27"/>
  <c r="H27"/>
  <c r="I27"/>
  <c r="K27"/>
  <c r="A28"/>
  <c r="C28"/>
  <c r="D28"/>
  <c r="F28"/>
  <c r="G28"/>
  <c r="H28"/>
  <c r="I28"/>
  <c r="K28"/>
  <c r="A29"/>
  <c r="L29"/>
  <c r="F30"/>
  <c r="L30"/>
  <c r="B31"/>
  <c r="I31"/>
  <c r="E12" i="16"/>
  <c r="K12"/>
  <c r="J26"/>
  <c r="E13"/>
  <c r="K13"/>
  <c r="K14"/>
  <c r="C26"/>
  <c r="K15"/>
  <c r="K16"/>
  <c r="A18"/>
  <c r="B18"/>
  <c r="D22"/>
  <c r="G22"/>
  <c r="F22"/>
  <c r="H22"/>
  <c r="I22"/>
  <c r="J22"/>
  <c r="D23"/>
  <c r="G23"/>
  <c r="L23"/>
  <c r="F23"/>
  <c r="H23"/>
  <c r="I23"/>
  <c r="D24"/>
  <c r="G24"/>
  <c r="F24"/>
  <c r="H24"/>
  <c r="I24"/>
  <c r="D25"/>
  <c r="G25"/>
  <c r="L25"/>
  <c r="F25"/>
  <c r="H25"/>
  <c r="I25"/>
  <c r="A26"/>
  <c r="D26"/>
  <c r="G26"/>
  <c r="F26"/>
  <c r="I26"/>
  <c r="A27"/>
  <c r="C27"/>
  <c r="D27"/>
  <c r="G27"/>
  <c r="L27"/>
  <c r="F27"/>
  <c r="H27"/>
  <c r="I27"/>
  <c r="K27"/>
  <c r="A28"/>
  <c r="C28"/>
  <c r="D28"/>
  <c r="F28"/>
  <c r="G28"/>
  <c r="H28"/>
  <c r="I28"/>
  <c r="K28"/>
  <c r="A29"/>
  <c r="L29"/>
  <c r="F30"/>
  <c r="L30"/>
  <c r="B31"/>
  <c r="I31"/>
  <c r="D26" i="9"/>
  <c r="G26"/>
  <c r="K14"/>
  <c r="C26"/>
  <c r="F26"/>
  <c r="K12"/>
  <c r="J26"/>
  <c r="I26"/>
  <c r="J22"/>
  <c r="B18"/>
  <c r="A18"/>
  <c r="C28"/>
  <c r="E13"/>
  <c r="K13"/>
  <c r="K15"/>
  <c r="K16"/>
  <c r="D22"/>
  <c r="G22"/>
  <c r="F22"/>
  <c r="H22"/>
  <c r="I22"/>
  <c r="D23"/>
  <c r="G23"/>
  <c r="F23"/>
  <c r="H23"/>
  <c r="I23"/>
  <c r="D24"/>
  <c r="G24"/>
  <c r="L24"/>
  <c r="F24"/>
  <c r="H24"/>
  <c r="I24"/>
  <c r="D25"/>
  <c r="G25"/>
  <c r="L25"/>
  <c r="F25"/>
  <c r="H25"/>
  <c r="I25"/>
  <c r="A26"/>
  <c r="A27"/>
  <c r="C27"/>
  <c r="D27"/>
  <c r="E27" s="1"/>
  <c r="F27"/>
  <c r="H27"/>
  <c r="A28"/>
  <c r="D28"/>
  <c r="F28"/>
  <c r="G28"/>
  <c r="H28"/>
  <c r="I28"/>
  <c r="K28"/>
  <c r="A29"/>
  <c r="L29"/>
  <c r="F30"/>
  <c r="L30" s="1"/>
  <c r="B31"/>
  <c r="I31"/>
  <c r="I31" i="18"/>
  <c r="L28"/>
  <c r="L27"/>
  <c r="L25"/>
  <c r="L23"/>
  <c r="L28" i="17"/>
  <c r="F31" i="16"/>
  <c r="L28"/>
  <c r="L28" i="9"/>
  <c r="F31"/>
  <c r="G31" i="18"/>
  <c r="K24"/>
  <c r="K31"/>
  <c r="H26"/>
  <c r="H31"/>
  <c r="I35"/>
  <c r="L24"/>
  <c r="L23" i="9"/>
  <c r="L22"/>
  <c r="L24" i="16"/>
  <c r="G31"/>
  <c r="L22"/>
  <c r="E31"/>
  <c r="L24" i="17"/>
  <c r="G31"/>
  <c r="L22"/>
  <c r="E31" i="22"/>
  <c r="G31"/>
  <c r="L22"/>
  <c r="H26"/>
  <c r="L26"/>
  <c r="K24"/>
  <c r="K31"/>
  <c r="G27" i="19"/>
  <c r="L27"/>
  <c r="G27" i="20"/>
  <c r="L27"/>
  <c r="D31" i="9"/>
  <c r="K27"/>
  <c r="G35" i="16"/>
  <c r="D31"/>
  <c r="G35" i="17"/>
  <c r="D31"/>
  <c r="G35" i="19"/>
  <c r="D31"/>
  <c r="G35" i="20"/>
  <c r="D31"/>
  <c r="J28" i="19"/>
  <c r="L28"/>
  <c r="K28" i="20"/>
  <c r="L28"/>
  <c r="G27" i="21"/>
  <c r="G31"/>
  <c r="G35" i="22"/>
  <c r="K26" i="9"/>
  <c r="K26" i="16"/>
  <c r="K26" i="17"/>
  <c r="K26" i="19"/>
  <c r="K26" i="20"/>
  <c r="K26" i="21"/>
  <c r="K28" i="19"/>
  <c r="L26" i="18"/>
  <c r="H26" i="20"/>
  <c r="L26"/>
  <c r="K31"/>
  <c r="H26" i="17"/>
  <c r="K31"/>
  <c r="K31" i="21"/>
  <c r="H26"/>
  <c r="H26" i="19"/>
  <c r="K31"/>
  <c r="H26" i="16"/>
  <c r="L26"/>
  <c r="L31"/>
  <c r="K31"/>
  <c r="G36" i="22"/>
  <c r="G37"/>
  <c r="G35" i="21"/>
  <c r="L22"/>
  <c r="E31"/>
  <c r="E31" i="20"/>
  <c r="L22"/>
  <c r="L31"/>
  <c r="E31" i="19"/>
  <c r="L22"/>
  <c r="G35" i="18"/>
  <c r="L22"/>
  <c r="L31"/>
  <c r="E31"/>
  <c r="E31" i="17"/>
  <c r="H26" i="9"/>
  <c r="K31"/>
  <c r="G36" i="20"/>
  <c r="G37"/>
  <c r="G36" i="19"/>
  <c r="G37"/>
  <c r="G36" i="17"/>
  <c r="G37"/>
  <c r="G36" i="16"/>
  <c r="G37"/>
  <c r="I35" i="22"/>
  <c r="H31"/>
  <c r="I36" i="18"/>
  <c r="I37"/>
  <c r="L27" i="21"/>
  <c r="L31" i="22"/>
  <c r="L24"/>
  <c r="G31" i="20"/>
  <c r="G31" i="19"/>
  <c r="I35" i="9"/>
  <c r="H31"/>
  <c r="G37" i="21"/>
  <c r="G36"/>
  <c r="I35" i="19"/>
  <c r="H31"/>
  <c r="H31" i="21"/>
  <c r="I35"/>
  <c r="I35" i="17"/>
  <c r="H31"/>
  <c r="I37" i="22"/>
  <c r="I36"/>
  <c r="L35" i="18"/>
  <c r="G37"/>
  <c r="L37"/>
  <c r="G36"/>
  <c r="L36"/>
  <c r="I35" i="16"/>
  <c r="H31"/>
  <c r="I35" i="20"/>
  <c r="H31"/>
  <c r="L37" i="22"/>
  <c r="L36"/>
  <c r="L26" i="9"/>
  <c r="L35" i="22"/>
  <c r="L26" i="19"/>
  <c r="L31"/>
  <c r="L26" i="21"/>
  <c r="L31"/>
  <c r="L26" i="17"/>
  <c r="L31"/>
  <c r="I37"/>
  <c r="L37"/>
  <c r="I36"/>
  <c r="L36"/>
  <c r="L35"/>
  <c r="I37" i="19"/>
  <c r="L37"/>
  <c r="I36"/>
  <c r="L36"/>
  <c r="L35"/>
  <c r="I37" i="20"/>
  <c r="L37"/>
  <c r="I36"/>
  <c r="L36"/>
  <c r="L35"/>
  <c r="I37" i="16"/>
  <c r="L37"/>
  <c r="I36"/>
  <c r="L36"/>
  <c r="L35"/>
  <c r="I36" i="21"/>
  <c r="I37"/>
  <c r="I37" i="9"/>
  <c r="I36"/>
  <c r="L37" i="21"/>
  <c r="L36"/>
  <c r="L35"/>
  <c r="E31" i="9" l="1"/>
  <c r="G27"/>
  <c r="G31" s="1"/>
  <c r="G35" l="1"/>
  <c r="L27"/>
  <c r="L31" s="1"/>
  <c r="G36" l="1"/>
  <c r="L36" s="1"/>
  <c r="G37"/>
  <c r="L37" s="1"/>
  <c r="L35"/>
</calcChain>
</file>

<file path=xl/comments1.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2.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3.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4.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5.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6.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7.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comments8.xml><?xml version="1.0" encoding="utf-8"?>
<comments xmlns="http://schemas.openxmlformats.org/spreadsheetml/2006/main">
  <authors>
    <author>Tom Dorn</author>
    <author>User</author>
  </authors>
  <commentList>
    <comment ref="B18" authorId="0">
      <text>
        <r>
          <rPr>
            <sz val="8"/>
            <color indexed="81"/>
            <rFont val="Tahoma"/>
          </rPr>
          <t>User: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B24"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6"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 ref="C27" authorId="1">
      <text>
        <r>
          <rPr>
            <b/>
            <sz val="8"/>
            <color indexed="81"/>
            <rFont val="Tahoma"/>
          </rPr>
          <t>User:</t>
        </r>
        <r>
          <rPr>
            <sz val="8"/>
            <color indexed="81"/>
            <rFont val="Tahoma"/>
          </rPr>
          <t xml:space="preserve">
Protection has been removed from this cell.  You  may replace the original  programming with any value you choose.    If you change the value and wish to save the worksheet, use "save as" to save it to a new filename to preserve the original programming in Irrigcost.xls.</t>
        </r>
      </text>
    </comment>
  </commentList>
</comments>
</file>

<file path=xl/sharedStrings.xml><?xml version="1.0" encoding="utf-8"?>
<sst xmlns="http://schemas.openxmlformats.org/spreadsheetml/2006/main" count="648" uniqueCount="85">
  <si>
    <t>$/ac-in</t>
  </si>
  <si>
    <t>Acres Irrigated</t>
  </si>
  <si>
    <t>Add'l Property Tax</t>
  </si>
  <si>
    <t>Annual $/ Acre</t>
  </si>
  <si>
    <t>Component</t>
  </si>
  <si>
    <t>Depr</t>
  </si>
  <si>
    <t>Dist. System -&gt;</t>
  </si>
  <si>
    <t>Drip Oil, $/gal</t>
  </si>
  <si>
    <t>engine depr -&gt;</t>
  </si>
  <si>
    <t>Gear Head</t>
  </si>
  <si>
    <t>Gross Depth applied, inches</t>
  </si>
  <si>
    <t>Increase in Property Tax Due to Irrig.Development, $/ac</t>
  </si>
  <si>
    <t>Initial Cost</t>
  </si>
  <si>
    <t>Insurance + tax</t>
  </si>
  <si>
    <t>Irrigation District,  $/ac-ft</t>
  </si>
  <si>
    <t>Irrigation Pump</t>
  </si>
  <si>
    <t>Irrigation Well</t>
  </si>
  <si>
    <t>Labor Chrg, $/hour</t>
  </si>
  <si>
    <t>labor cost -&gt;</t>
  </si>
  <si>
    <t>Life</t>
  </si>
  <si>
    <t>Oper. labor</t>
  </si>
  <si>
    <t>Operating Costs</t>
  </si>
  <si>
    <t>Ownership Costs</t>
  </si>
  <si>
    <t>Pump Base, etc.</t>
  </si>
  <si>
    <t>Pumping water level, ft.</t>
  </si>
  <si>
    <t>R.O.I.</t>
  </si>
  <si>
    <t>Return on Invest. (R.O.I), %</t>
  </si>
  <si>
    <t>service life -&gt;</t>
  </si>
  <si>
    <t>System Pressure, PSI</t>
  </si>
  <si>
    <t>Totals</t>
  </si>
  <si>
    <t>Center Pivot with Diesel Engine</t>
  </si>
  <si>
    <t>Center Pivot with Natural Gas Engine</t>
  </si>
  <si>
    <t>Center Pivot with Propane Engine</t>
  </si>
  <si>
    <t>Gated Pipe with Diesel Engine</t>
  </si>
  <si>
    <t>Total annual $</t>
  </si>
  <si>
    <t>Diesel</t>
  </si>
  <si>
    <t>Gallons</t>
  </si>
  <si>
    <t>Electricity</t>
  </si>
  <si>
    <t>Nat Gas</t>
  </si>
  <si>
    <t>MCF</t>
  </si>
  <si>
    <t>NG Therm</t>
  </si>
  <si>
    <t xml:space="preserve">Therm </t>
  </si>
  <si>
    <t>Energy Lookup Table</t>
  </si>
  <si>
    <t>Distribution System Lookup Table</t>
  </si>
  <si>
    <t>Pivot</t>
  </si>
  <si>
    <t>Gated Pipe</t>
  </si>
  <si>
    <t>Surge Valve</t>
  </si>
  <si>
    <t>Siphon Tube</t>
  </si>
  <si>
    <t>SDI</t>
  </si>
  <si>
    <t>Select Distribution System</t>
  </si>
  <si>
    <t>LP Gas</t>
  </si>
  <si>
    <t>Kw-hour</t>
  </si>
  <si>
    <t>$/MCF</t>
  </si>
  <si>
    <t>$/Therm</t>
  </si>
  <si>
    <t>$/Gallon</t>
  </si>
  <si>
    <t>$/kW-h</t>
  </si>
  <si>
    <t xml:space="preserve">with values that represent their unique situation.    </t>
  </si>
  <si>
    <t xml:space="preserve">Note: Users are encouraged to replace values in blue font  </t>
  </si>
  <si>
    <t>Center Pivot with Electric Pump Motor</t>
  </si>
  <si>
    <t>Gated Pipe with Propane Engine</t>
  </si>
  <si>
    <t>Select Power Unit Type</t>
  </si>
  <si>
    <t>Select Distribution system and energy source for the pump motor from pull down menus.</t>
  </si>
  <si>
    <t>Annualized Cost of Owning and Operating an Irrigation System</t>
  </si>
  <si>
    <r>
      <t>Repairs</t>
    </r>
    <r>
      <rPr>
        <b/>
        <vertAlign val="superscript"/>
        <sz val="10"/>
        <rFont val="Arial"/>
        <family val="2"/>
      </rPr>
      <t>2</t>
    </r>
  </si>
  <si>
    <t>Total Costs</t>
  </si>
  <si>
    <t xml:space="preserve">   added for Electric Units.</t>
  </si>
  <si>
    <t xml:space="preserve">   energy costs added to repair costs for oil, filters, and lube.</t>
  </si>
  <si>
    <t xml:space="preserve">   delivered.  Other systems require no additional energy for distribution</t>
  </si>
  <si>
    <t xml:space="preserve">   End of life cost for well = 5% to plug the well.</t>
  </si>
  <si>
    <r>
      <t>2</t>
    </r>
    <r>
      <rPr>
        <sz val="10"/>
        <rFont val="Arial"/>
      </rPr>
      <t xml:space="preserve">  Drip oil added to repair costs.  For internal combustion engines, 5% of </t>
    </r>
  </si>
  <si>
    <t>HP=</t>
  </si>
  <si>
    <t>$/HP=</t>
  </si>
  <si>
    <r>
      <t>1</t>
    </r>
    <r>
      <rPr>
        <sz val="10"/>
        <rFont val="Arial"/>
      </rPr>
      <t xml:space="preserve"> Energy Cost assumes operating at 100% of the NPC.  Hookup charge </t>
    </r>
  </si>
  <si>
    <r>
      <t xml:space="preserve">3 </t>
    </r>
    <r>
      <rPr>
        <sz val="10"/>
        <rFont val="Arial"/>
      </rPr>
      <t xml:space="preserve">Energy Cost for Center Pivot assumes 7/8 hp-h per acre inch of water . </t>
    </r>
  </si>
  <si>
    <r>
      <t xml:space="preserve">4 </t>
    </r>
    <r>
      <rPr>
        <sz val="10"/>
        <rFont val="Arial"/>
      </rPr>
      <t xml:space="preserve">End of life salvage value 5% of purchase price except for irrigation well.  </t>
    </r>
  </si>
  <si>
    <r>
      <t>Salvage</t>
    </r>
    <r>
      <rPr>
        <b/>
        <vertAlign val="superscript"/>
        <sz val="10"/>
        <rFont val="Arial"/>
        <family val="2"/>
      </rPr>
      <t>4</t>
    </r>
  </si>
  <si>
    <t>WHP-hr/funitof fuel -&gt;</t>
  </si>
  <si>
    <t>Cell A26Power Unit type-&gt;</t>
  </si>
  <si>
    <t>Cell C26 Est. engine life -&gt;</t>
  </si>
  <si>
    <r>
      <t>Energy $</t>
    </r>
    <r>
      <rPr>
        <b/>
        <vertAlign val="superscript"/>
        <sz val="10"/>
        <rFont val="Arial"/>
        <family val="2"/>
      </rPr>
      <t>1</t>
    </r>
  </si>
  <si>
    <t>Gated Pipe with Electric Pump Motor</t>
  </si>
  <si>
    <r>
      <t xml:space="preserve">4 </t>
    </r>
    <r>
      <rPr>
        <sz val="10"/>
        <rFont val="Arial"/>
      </rPr>
      <t xml:space="preserve">End of life salvage value 5% of purchase price except for well.  </t>
    </r>
  </si>
  <si>
    <t>Written by: Tom Dorn, Extension Educator   UNL-IANR  Lancaster County, NE  revised 02/02/2009</t>
  </si>
  <si>
    <t xml:space="preserve">Note: Users are encouraged to replace all values in blue font  </t>
  </si>
  <si>
    <t>Developed by : Tom Dorn, Extension Educator   UNL-IANR  Lancaster County, NE  revised 4/09/2013</t>
  </si>
</sst>
</file>

<file path=xl/styles.xml><?xml version="1.0" encoding="utf-8"?>
<styleSheet xmlns="http://schemas.openxmlformats.org/spreadsheetml/2006/main">
  <numFmts count="6">
    <numFmt numFmtId="5" formatCode="&quot;$&quot;#,##0_);\(&quot;$&quot;#,##0\)"/>
    <numFmt numFmtId="7" formatCode="&quot;$&quot;#,##0.00_);\(&quot;$&quot;#,##0.00\)"/>
    <numFmt numFmtId="164" formatCode="&quot;$&quot;#,##0.000\ ;\(&quot;$&quot;#,##0.000\)"/>
    <numFmt numFmtId="165" formatCode=";;;"/>
    <numFmt numFmtId="166" formatCode="&quot;$&quot;#,##0.00"/>
    <numFmt numFmtId="167" formatCode="&quot;$&quot;#,##0"/>
  </numFmts>
  <fonts count="19">
    <font>
      <sz val="10"/>
      <name val="Arial"/>
    </font>
    <font>
      <b/>
      <sz val="18"/>
      <name val="Arial"/>
    </font>
    <font>
      <b/>
      <sz val="12"/>
      <name val="Arial"/>
    </font>
    <font>
      <b/>
      <sz val="10"/>
      <name val="Arial"/>
    </font>
    <font>
      <sz val="8"/>
      <name val="Arial"/>
    </font>
    <font>
      <sz val="16"/>
      <name val="Arial Black"/>
    </font>
    <font>
      <b/>
      <sz val="10"/>
      <color indexed="10"/>
      <name val="Arial"/>
      <family val="2"/>
    </font>
    <font>
      <b/>
      <sz val="10"/>
      <color indexed="12"/>
      <name val="Arial"/>
      <family val="2"/>
    </font>
    <font>
      <sz val="10"/>
      <color indexed="12"/>
      <name val="Arial"/>
      <family val="2"/>
    </font>
    <font>
      <b/>
      <vertAlign val="superscript"/>
      <sz val="10"/>
      <name val="Arial"/>
      <family val="2"/>
    </font>
    <font>
      <sz val="8"/>
      <color indexed="81"/>
      <name val="Tahoma"/>
    </font>
    <font>
      <b/>
      <sz val="8"/>
      <color indexed="81"/>
      <name val="Tahoma"/>
    </font>
    <font>
      <sz val="10"/>
      <name val="Arial"/>
    </font>
    <font>
      <b/>
      <sz val="11"/>
      <color indexed="12"/>
      <name val="Arial"/>
      <family val="2"/>
    </font>
    <font>
      <sz val="11"/>
      <name val="Arial"/>
      <family val="2"/>
    </font>
    <font>
      <b/>
      <sz val="10"/>
      <name val="Arial"/>
      <family val="2"/>
    </font>
    <font>
      <sz val="10"/>
      <name val="Arial"/>
      <family val="2"/>
    </font>
    <font>
      <sz val="10"/>
      <color indexed="10"/>
      <name val="Arial"/>
      <family val="2"/>
    </font>
    <font>
      <b/>
      <sz val="9"/>
      <name val="Arial"/>
      <family val="2"/>
    </font>
  </fonts>
  <fills count="7">
    <fill>
      <patternFill patternType="none"/>
    </fill>
    <fill>
      <patternFill patternType="gray125"/>
    </fill>
    <fill>
      <patternFill patternType="solid">
        <fgColor indexed="41"/>
        <bgColor indexed="64"/>
      </patternFill>
    </fill>
    <fill>
      <patternFill patternType="solid">
        <fgColor indexed="42"/>
        <bgColor indexed="64"/>
      </patternFill>
    </fill>
    <fill>
      <patternFill patternType="solid">
        <fgColor indexed="26"/>
        <bgColor indexed="64"/>
      </patternFill>
    </fill>
    <fill>
      <patternFill patternType="solid">
        <fgColor indexed="47"/>
        <bgColor indexed="64"/>
      </patternFill>
    </fill>
    <fill>
      <patternFill patternType="solid">
        <fgColor indexed="34"/>
        <bgColor indexed="64"/>
      </patternFill>
    </fill>
  </fills>
  <borders count="25">
    <border>
      <left/>
      <right/>
      <top/>
      <bottom/>
      <diagonal/>
    </border>
    <border>
      <left/>
      <right/>
      <top style="double">
        <color indexed="64"/>
      </top>
      <bottom/>
      <diagonal/>
    </border>
    <border>
      <left/>
      <right/>
      <top style="medium">
        <color indexed="64"/>
      </top>
      <bottom/>
      <diagonal/>
    </border>
    <border>
      <left/>
      <right style="thin">
        <color indexed="64"/>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thin">
        <color indexed="64"/>
      </right>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8">
    <xf numFmtId="0" fontId="0" fillId="0" borderId="0"/>
    <xf numFmtId="3" fontId="12" fillId="0" borderId="0"/>
    <xf numFmtId="5" fontId="12" fillId="0" borderId="0"/>
    <xf numFmtId="14" fontId="12" fillId="0" borderId="0"/>
    <xf numFmtId="2" fontId="12" fillId="0" borderId="0"/>
    <xf numFmtId="0" fontId="1" fillId="0" borderId="0"/>
    <xf numFmtId="0" fontId="2" fillId="0" borderId="0"/>
    <xf numFmtId="0" fontId="12" fillId="0" borderId="1"/>
  </cellStyleXfs>
  <cellXfs count="128">
    <xf numFmtId="0" fontId="0" fillId="0" borderId="0" xfId="0"/>
    <xf numFmtId="22" fontId="0" fillId="0" borderId="0" xfId="0" applyNumberFormat="1"/>
    <xf numFmtId="0" fontId="2" fillId="0" borderId="0" xfId="0" applyFont="1"/>
    <xf numFmtId="0" fontId="0" fillId="0" borderId="0" xfId="0" applyBorder="1"/>
    <xf numFmtId="0" fontId="3" fillId="0" borderId="0" xfId="0" applyFont="1" applyBorder="1"/>
    <xf numFmtId="0" fontId="0" fillId="0" borderId="0" xfId="0" applyNumberFormat="1"/>
    <xf numFmtId="0" fontId="0" fillId="0" borderId="0" xfId="0" applyProtection="1"/>
    <xf numFmtId="0" fontId="0" fillId="2" borderId="0" xfId="0" applyFill="1" applyBorder="1" applyProtection="1"/>
    <xf numFmtId="0" fontId="0" fillId="0" borderId="0" xfId="0" applyBorder="1" applyProtection="1"/>
    <xf numFmtId="0" fontId="0" fillId="0" borderId="0" xfId="0" applyFill="1" applyBorder="1" applyProtection="1"/>
    <xf numFmtId="0" fontId="0" fillId="2" borderId="0" xfId="0" applyFont="1" applyFill="1" applyBorder="1" applyProtection="1"/>
    <xf numFmtId="0" fontId="0" fillId="0" borderId="0" xfId="0" applyFont="1" applyBorder="1" applyProtection="1"/>
    <xf numFmtId="0" fontId="0" fillId="0" borderId="0" xfId="0" applyFont="1" applyFill="1" applyBorder="1" applyProtection="1"/>
    <xf numFmtId="0" fontId="0" fillId="0" borderId="2" xfId="0" applyBorder="1"/>
    <xf numFmtId="0" fontId="0" fillId="0" borderId="0" xfId="0" applyBorder="1" applyAlignment="1" applyProtection="1"/>
    <xf numFmtId="0" fontId="0" fillId="0" borderId="3" xfId="0" applyBorder="1"/>
    <xf numFmtId="7" fontId="7" fillId="0" borderId="0" xfId="0" applyNumberFormat="1" applyFont="1" applyBorder="1" applyProtection="1">
      <protection locked="0"/>
    </xf>
    <xf numFmtId="0" fontId="0" fillId="0" borderId="4" xfId="0" applyBorder="1" applyProtection="1"/>
    <xf numFmtId="7" fontId="3" fillId="0" borderId="0" xfId="0" applyNumberFormat="1" applyFont="1" applyBorder="1" applyProtection="1"/>
    <xf numFmtId="165" fontId="0" fillId="0" borderId="0" xfId="0" applyNumberFormat="1" applyBorder="1" applyProtection="1"/>
    <xf numFmtId="165" fontId="4" fillId="0" borderId="0" xfId="0" applyNumberFormat="1" applyFont="1" applyBorder="1" applyAlignment="1" applyProtection="1">
      <alignment horizontal="right"/>
    </xf>
    <xf numFmtId="165" fontId="12" fillId="0" borderId="0" xfId="0" applyNumberFormat="1" applyFont="1" applyBorder="1" applyProtection="1"/>
    <xf numFmtId="0" fontId="0" fillId="0" borderId="5" xfId="0" applyBorder="1" applyProtection="1"/>
    <xf numFmtId="0" fontId="0" fillId="0" borderId="6" xfId="0" applyBorder="1" applyProtection="1"/>
    <xf numFmtId="0" fontId="3" fillId="0" borderId="2" xfId="0" applyFont="1" applyBorder="1" applyAlignment="1" applyProtection="1">
      <alignment horizontal="center"/>
    </xf>
    <xf numFmtId="0" fontId="0" fillId="0" borderId="7" xfId="0" applyBorder="1" applyProtection="1"/>
    <xf numFmtId="0" fontId="0" fillId="0" borderId="0" xfId="0" applyBorder="1" applyAlignment="1" applyProtection="1">
      <alignment horizontal="right"/>
    </xf>
    <xf numFmtId="0" fontId="0" fillId="3" borderId="0" xfId="0" applyFill="1" applyBorder="1"/>
    <xf numFmtId="0" fontId="0" fillId="3" borderId="3" xfId="0" applyFill="1" applyBorder="1"/>
    <xf numFmtId="0" fontId="0" fillId="3" borderId="8" xfId="0" applyFill="1" applyBorder="1"/>
    <xf numFmtId="0" fontId="0" fillId="4" borderId="0" xfId="0" applyFill="1" applyBorder="1"/>
    <xf numFmtId="0" fontId="3" fillId="3" borderId="9" xfId="0" applyFont="1" applyFill="1" applyBorder="1"/>
    <xf numFmtId="0" fontId="0" fillId="3" borderId="10" xfId="0" applyFill="1" applyBorder="1"/>
    <xf numFmtId="0" fontId="3" fillId="4" borderId="9" xfId="0" applyFont="1" applyFill="1" applyBorder="1"/>
    <xf numFmtId="0" fontId="0" fillId="4" borderId="10" xfId="0" applyFill="1" applyBorder="1"/>
    <xf numFmtId="0" fontId="0" fillId="4" borderId="3" xfId="0" applyFill="1" applyBorder="1"/>
    <xf numFmtId="7" fontId="0" fillId="3" borderId="5" xfId="0" applyNumberFormat="1" applyFill="1" applyBorder="1"/>
    <xf numFmtId="0" fontId="0" fillId="3" borderId="11" xfId="0" applyFill="1" applyBorder="1"/>
    <xf numFmtId="7" fontId="0" fillId="4" borderId="5" xfId="0" applyNumberFormat="1" applyFill="1" applyBorder="1"/>
    <xf numFmtId="0" fontId="0" fillId="4" borderId="11" xfId="0" applyFill="1" applyBorder="1"/>
    <xf numFmtId="0" fontId="0" fillId="4" borderId="8" xfId="0" applyFill="1" applyBorder="1"/>
    <xf numFmtId="7" fontId="0" fillId="3" borderId="12" xfId="0" applyNumberFormat="1" applyFill="1" applyBorder="1"/>
    <xf numFmtId="7" fontId="0" fillId="4" borderId="12" xfId="0" applyNumberFormat="1" applyFill="1" applyBorder="1"/>
    <xf numFmtId="5" fontId="0" fillId="3" borderId="12" xfId="0" applyNumberFormat="1" applyFill="1" applyBorder="1"/>
    <xf numFmtId="5" fontId="0" fillId="4" borderId="12" xfId="0" applyNumberFormat="1" applyFill="1" applyBorder="1"/>
    <xf numFmtId="0" fontId="3" fillId="3" borderId="13" xfId="0" applyFont="1" applyFill="1" applyBorder="1" applyAlignment="1">
      <alignment horizontal="centerContinuous"/>
    </xf>
    <xf numFmtId="0" fontId="3" fillId="4" borderId="13" xfId="0" applyFont="1" applyFill="1" applyBorder="1" applyAlignment="1">
      <alignment horizontal="centerContinuous"/>
    </xf>
    <xf numFmtId="0" fontId="3" fillId="3" borderId="13" xfId="0" applyFont="1" applyFill="1" applyBorder="1" applyAlignment="1">
      <alignment horizontal="right"/>
    </xf>
    <xf numFmtId="0" fontId="3" fillId="4" borderId="13" xfId="0" applyFont="1" applyFill="1" applyBorder="1" applyAlignment="1">
      <alignment horizontal="right"/>
    </xf>
    <xf numFmtId="5" fontId="0" fillId="3" borderId="13" xfId="0" applyNumberFormat="1" applyFill="1" applyBorder="1"/>
    <xf numFmtId="5" fontId="0" fillId="4" borderId="13" xfId="0" applyNumberFormat="1" applyFill="1" applyBorder="1"/>
    <xf numFmtId="7" fontId="0" fillId="4" borderId="13" xfId="0" applyNumberFormat="1" applyFill="1" applyBorder="1"/>
    <xf numFmtId="0" fontId="0" fillId="3" borderId="13" xfId="0" applyFill="1" applyBorder="1"/>
    <xf numFmtId="0" fontId="0" fillId="4" borderId="13" xfId="0" applyFill="1" applyBorder="1"/>
    <xf numFmtId="5" fontId="7" fillId="5" borderId="13" xfId="0" applyNumberFormat="1" applyFont="1" applyFill="1" applyBorder="1" applyProtection="1">
      <protection locked="0"/>
    </xf>
    <xf numFmtId="167" fontId="7" fillId="5" borderId="13" xfId="0" applyNumberFormat="1" applyFont="1" applyFill="1" applyBorder="1" applyProtection="1">
      <protection locked="0"/>
    </xf>
    <xf numFmtId="5" fontId="8" fillId="5" borderId="13" xfId="0" applyNumberFormat="1" applyFont="1" applyFill="1" applyBorder="1" applyProtection="1">
      <protection locked="0"/>
    </xf>
    <xf numFmtId="0" fontId="0" fillId="5" borderId="13" xfId="0" applyFill="1" applyBorder="1"/>
    <xf numFmtId="0" fontId="3" fillId="5" borderId="13" xfId="0" applyFont="1" applyFill="1" applyBorder="1"/>
    <xf numFmtId="0" fontId="3" fillId="5" borderId="13" xfId="0" applyFont="1" applyFill="1" applyBorder="1" applyAlignment="1">
      <alignment horizontal="right"/>
    </xf>
    <xf numFmtId="0" fontId="8" fillId="5" borderId="13" xfId="0" applyFont="1" applyFill="1" applyBorder="1" applyProtection="1">
      <protection locked="0"/>
    </xf>
    <xf numFmtId="5" fontId="0" fillId="5" borderId="13" xfId="0" applyNumberFormat="1" applyFill="1" applyBorder="1"/>
    <xf numFmtId="0" fontId="0" fillId="5" borderId="13" xfId="0" applyFill="1" applyBorder="1" applyProtection="1">
      <protection locked="0"/>
    </xf>
    <xf numFmtId="5" fontId="15" fillId="6" borderId="14" xfId="0" applyNumberFormat="1" applyFont="1" applyFill="1" applyBorder="1"/>
    <xf numFmtId="7" fontId="15" fillId="6" borderId="14" xfId="0" applyNumberFormat="1" applyFont="1" applyFill="1" applyBorder="1"/>
    <xf numFmtId="7" fontId="15" fillId="6" borderId="6" xfId="0" applyNumberFormat="1" applyFont="1" applyFill="1" applyBorder="1"/>
    <xf numFmtId="5" fontId="15" fillId="6" borderId="13" xfId="0" applyNumberFormat="1" applyFont="1" applyFill="1" applyBorder="1"/>
    <xf numFmtId="0" fontId="3" fillId="0" borderId="13" xfId="0" applyFont="1" applyBorder="1"/>
    <xf numFmtId="0" fontId="7" fillId="0" borderId="13" xfId="0" applyFont="1" applyBorder="1" applyProtection="1">
      <protection locked="0"/>
    </xf>
    <xf numFmtId="164" fontId="7" fillId="0" borderId="13" xfId="0" applyNumberFormat="1" applyFont="1" applyBorder="1" applyProtection="1">
      <protection locked="0"/>
    </xf>
    <xf numFmtId="0" fontId="15" fillId="0" borderId="13" xfId="0" applyFont="1" applyBorder="1"/>
    <xf numFmtId="7" fontId="7" fillId="0" borderId="13" xfId="0" applyNumberFormat="1" applyFont="1" applyBorder="1" applyProtection="1">
      <protection locked="0"/>
    </xf>
    <xf numFmtId="7" fontId="3" fillId="0" borderId="13" xfId="0" applyNumberFormat="1" applyFont="1" applyBorder="1"/>
    <xf numFmtId="5" fontId="6" fillId="5" borderId="13" xfId="0" applyNumberFormat="1" applyFont="1" applyFill="1" applyBorder="1"/>
    <xf numFmtId="0" fontId="6" fillId="0" borderId="13" xfId="0" applyFont="1" applyBorder="1"/>
    <xf numFmtId="0" fontId="0" fillId="6" borderId="10" xfId="0" applyFill="1" applyBorder="1"/>
    <xf numFmtId="0" fontId="0" fillId="6" borderId="3" xfId="0" applyFill="1" applyBorder="1"/>
    <xf numFmtId="0" fontId="3" fillId="6" borderId="8" xfId="0" applyFont="1" applyFill="1" applyBorder="1"/>
    <xf numFmtId="0" fontId="3" fillId="6" borderId="11" xfId="0" applyFont="1" applyFill="1" applyBorder="1"/>
    <xf numFmtId="0" fontId="16" fillId="0" borderId="5" xfId="0" applyFont="1" applyBorder="1" applyAlignment="1"/>
    <xf numFmtId="5" fontId="15" fillId="0" borderId="13" xfId="0" applyNumberFormat="1" applyFont="1" applyBorder="1" applyProtection="1"/>
    <xf numFmtId="166" fontId="16" fillId="0" borderId="5" xfId="0" applyNumberFormat="1" applyFont="1" applyBorder="1" applyAlignment="1" applyProtection="1">
      <alignment horizontal="left"/>
      <protection locked="0"/>
    </xf>
    <xf numFmtId="0" fontId="17" fillId="0" borderId="5" xfId="0" applyFont="1" applyBorder="1" applyAlignment="1" applyProtection="1">
      <alignment horizontal="left"/>
      <protection locked="0"/>
    </xf>
    <xf numFmtId="0" fontId="17" fillId="0" borderId="5" xfId="0" applyFont="1" applyBorder="1" applyAlignment="1" applyProtection="1">
      <alignment horizontal="right"/>
    </xf>
    <xf numFmtId="0" fontId="16" fillId="0" borderId="5" xfId="0" applyFont="1" applyBorder="1" applyAlignment="1">
      <alignment horizontal="right"/>
    </xf>
    <xf numFmtId="0" fontId="0" fillId="0" borderId="15" xfId="0" applyBorder="1"/>
    <xf numFmtId="0" fontId="3" fillId="0" borderId="16" xfId="0" applyFont="1" applyFill="1" applyBorder="1"/>
    <xf numFmtId="37" fontId="0" fillId="4" borderId="13" xfId="0" applyNumberFormat="1" applyFill="1" applyBorder="1"/>
    <xf numFmtId="0" fontId="3" fillId="4" borderId="13" xfId="0" applyFont="1" applyFill="1" applyBorder="1" applyAlignment="1">
      <alignment horizontal="center"/>
    </xf>
    <xf numFmtId="0" fontId="3" fillId="4" borderId="13" xfId="0" applyFont="1" applyFill="1" applyBorder="1" applyAlignment="1">
      <alignment horizontal="left"/>
    </xf>
    <xf numFmtId="0" fontId="15" fillId="0" borderId="0" xfId="0" applyFont="1" applyBorder="1"/>
    <xf numFmtId="0" fontId="3" fillId="0" borderId="0" xfId="0" applyFont="1" applyFill="1" applyBorder="1"/>
    <xf numFmtId="0" fontId="16" fillId="0" borderId="0" xfId="0" applyFont="1" applyBorder="1"/>
    <xf numFmtId="0" fontId="16" fillId="0" borderId="0" xfId="0" applyFont="1" applyFill="1" applyBorder="1"/>
    <xf numFmtId="0" fontId="16" fillId="0" borderId="0" xfId="0" applyFont="1"/>
    <xf numFmtId="0" fontId="3" fillId="5" borderId="17" xfId="0" applyFont="1" applyFill="1" applyBorder="1"/>
    <xf numFmtId="5" fontId="0" fillId="5" borderId="17" xfId="0" applyNumberFormat="1" applyFill="1" applyBorder="1"/>
    <xf numFmtId="5" fontId="0" fillId="3" borderId="17" xfId="0" applyNumberFormat="1" applyFill="1" applyBorder="1"/>
    <xf numFmtId="0" fontId="0" fillId="0" borderId="18" xfId="0" applyBorder="1"/>
    <xf numFmtId="0" fontId="0" fillId="0" borderId="7" xfId="0" applyBorder="1"/>
    <xf numFmtId="0" fontId="15" fillId="0" borderId="15" xfId="0" applyFont="1" applyBorder="1"/>
    <xf numFmtId="0" fontId="0" fillId="0" borderId="4" xfId="0" applyBorder="1"/>
    <xf numFmtId="0" fontId="0" fillId="0" borderId="5" xfId="0" applyBorder="1"/>
    <xf numFmtId="0" fontId="0" fillId="0" borderId="6" xfId="0" applyBorder="1"/>
    <xf numFmtId="0" fontId="15" fillId="0" borderId="18" xfId="0" applyFont="1" applyBorder="1"/>
    <xf numFmtId="0" fontId="16" fillId="0" borderId="19" xfId="0" applyFont="1" applyBorder="1"/>
    <xf numFmtId="0" fontId="16" fillId="0" borderId="20" xfId="0" applyFont="1" applyFill="1" applyBorder="1"/>
    <xf numFmtId="7" fontId="15" fillId="4" borderId="13" xfId="0" applyNumberFormat="1" applyFont="1" applyFill="1" applyBorder="1" applyAlignment="1">
      <alignment horizontal="center"/>
    </xf>
    <xf numFmtId="165" fontId="0" fillId="0" borderId="4" xfId="0" applyNumberFormat="1" applyBorder="1" applyProtection="1"/>
    <xf numFmtId="7" fontId="18" fillId="4" borderId="13" xfId="0" applyNumberFormat="1" applyFont="1" applyFill="1" applyBorder="1"/>
    <xf numFmtId="0" fontId="15" fillId="6" borderId="21" xfId="0" applyFont="1" applyFill="1" applyBorder="1" applyAlignment="1">
      <alignment horizontal="center"/>
    </xf>
    <xf numFmtId="0" fontId="15" fillId="6" borderId="4" xfId="0" applyFont="1" applyFill="1" applyBorder="1"/>
    <xf numFmtId="0" fontId="13" fillId="0" borderId="0" xfId="0" applyFont="1" applyBorder="1" applyAlignment="1" applyProtection="1">
      <alignment horizontal="center"/>
    </xf>
    <xf numFmtId="0" fontId="14" fillId="0" borderId="0" xfId="0" applyFont="1" applyBorder="1" applyAlignment="1" applyProtection="1">
      <alignment horizontal="center"/>
    </xf>
    <xf numFmtId="0" fontId="2" fillId="0" borderId="0" xfId="0" applyFont="1" applyBorder="1" applyAlignment="1"/>
    <xf numFmtId="0" fontId="0" fillId="0" borderId="0" xfId="0" applyBorder="1" applyAlignment="1"/>
    <xf numFmtId="0" fontId="0" fillId="0" borderId="0" xfId="0" applyAlignment="1"/>
    <xf numFmtId="0" fontId="0" fillId="0" borderId="0" xfId="0" applyBorder="1" applyAlignment="1" applyProtection="1">
      <alignment horizontal="center"/>
    </xf>
    <xf numFmtId="0" fontId="0" fillId="0" borderId="0" xfId="0" applyBorder="1" applyAlignment="1" applyProtection="1"/>
    <xf numFmtId="0" fontId="13" fillId="0" borderId="2" xfId="0" applyFont="1" applyBorder="1" applyAlignment="1" applyProtection="1">
      <alignment horizontal="center"/>
    </xf>
    <xf numFmtId="0" fontId="14" fillId="0" borderId="2" xfId="0" applyFont="1" applyBorder="1" applyAlignment="1" applyProtection="1">
      <alignment horizontal="center"/>
    </xf>
    <xf numFmtId="0" fontId="5" fillId="0" borderId="0" xfId="0" applyFont="1" applyAlignment="1">
      <alignment horizontal="center"/>
    </xf>
    <xf numFmtId="0" fontId="0" fillId="0" borderId="0" xfId="0"/>
    <xf numFmtId="0" fontId="13" fillId="0" borderId="0" xfId="0" applyFont="1" applyBorder="1" applyAlignment="1" applyProtection="1"/>
    <xf numFmtId="0" fontId="0" fillId="0" borderId="4" xfId="0" applyBorder="1" applyAlignment="1" applyProtection="1"/>
    <xf numFmtId="0" fontId="16" fillId="0" borderId="22" xfId="0" applyFont="1" applyBorder="1" applyAlignment="1" applyProtection="1"/>
    <xf numFmtId="0" fontId="0" fillId="0" borderId="23" xfId="0" applyBorder="1" applyAlignment="1" applyProtection="1"/>
    <xf numFmtId="0" fontId="0" fillId="0" borderId="24" xfId="0" applyBorder="1" applyAlignment="1" applyProtection="1"/>
  </cellXfs>
  <cellStyles count="8">
    <cellStyle name="Comma0" xfId="1"/>
    <cellStyle name="Currency0" xfId="2"/>
    <cellStyle name="Date" xfId="3"/>
    <cellStyle name="Fixed" xfId="4"/>
    <cellStyle name="Heading 1" xfId="5" builtinId="16" customBuiltin="1"/>
    <cellStyle name="Heading 2" xfId="6" builtinId="17" customBuiltin="1"/>
    <cellStyle name="Normal" xfId="0" builtinId="0"/>
    <cellStyle name="Total" xfId="7" builtinId="25" customBuiltin="1"/>
  </cellStyles>
  <dxfs count="48">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
      <font>
        <condense val="0"/>
        <extend val="0"/>
        <color indexed="9"/>
      </font>
      <fill>
        <patternFill patternType="none">
          <bgColor indexed="65"/>
        </patternFill>
      </fill>
    </dxf>
    <dxf>
      <font>
        <b/>
        <i val="0"/>
        <condense val="0"/>
        <extend val="0"/>
        <color indexed="8"/>
      </font>
      <fill>
        <patternFill patternType="none">
          <bgColor indexed="65"/>
        </patternFill>
      </fill>
    </dxf>
    <dxf>
      <font>
        <condense val="0"/>
        <extend val="0"/>
        <color indexed="9"/>
      </font>
    </dxf>
    <dxf>
      <font>
        <b/>
        <i val="0"/>
        <condense val="0"/>
        <extend val="0"/>
        <color indexed="10"/>
      </font>
      <border>
        <left style="thin">
          <color indexed="64"/>
        </left>
        <right style="thin">
          <color indexed="64"/>
        </right>
        <top style="thin">
          <color indexed="64"/>
        </top>
        <bottom style="thin">
          <color indexed="64"/>
        </bottom>
      </border>
    </dxf>
    <dxf>
      <font>
        <condense val="0"/>
        <extend val="0"/>
        <color indexed="9"/>
      </font>
    </dxf>
    <dxf>
      <font>
        <b/>
        <i val="0"/>
        <condense val="0"/>
        <extend val="0"/>
        <color indexed="12"/>
      </font>
      <border>
        <left style="thin">
          <color indexed="64"/>
        </left>
        <right style="thin">
          <color indexed="64"/>
        </right>
        <top style="thin">
          <color indexed="64"/>
        </top>
        <bottom style="thin">
          <color indexed="64"/>
        </bottom>
      </border>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Z47"/>
  <sheetViews>
    <sheetView tabSelected="1" workbookViewId="0">
      <selection activeCell="E2" sqref="E2:L2"/>
    </sheetView>
  </sheetViews>
  <sheetFormatPr defaultRowHeight="12.75"/>
  <cols>
    <col min="1" max="1" width="25.85546875" customWidth="1"/>
    <col min="2" max="2" width="11.140625" customWidth="1"/>
    <col min="3" max="3" width="5.42578125" customWidth="1"/>
    <col min="4" max="4" width="9.28515625" customWidth="1"/>
    <col min="5" max="5" width="10.140625" customWidth="1"/>
    <col min="6" max="6" width="13.28515625" customWidth="1"/>
    <col min="7" max="7" width="10.5703125" customWidth="1"/>
    <col min="8" max="8" width="10.140625" customWidth="1"/>
    <col min="9" max="9" width="12.28515625" customWidth="1"/>
    <col min="10" max="10" width="9.28515625" customWidth="1"/>
    <col min="12" max="12" width="10.42578125" customWidth="1"/>
    <col min="22" max="22" width="11.42578125" customWidth="1"/>
  </cols>
  <sheetData>
    <row r="1" spans="1:26" ht="25.5" thickBot="1">
      <c r="A1" s="121" t="s">
        <v>62</v>
      </c>
      <c r="B1" s="122"/>
      <c r="C1" s="122"/>
      <c r="D1" s="122"/>
      <c r="E1" s="122"/>
      <c r="F1" s="122"/>
      <c r="G1" s="122"/>
      <c r="H1" s="122"/>
      <c r="I1" s="122"/>
      <c r="J1" s="122"/>
      <c r="K1" s="122"/>
      <c r="L1" s="122"/>
    </row>
    <row r="2" spans="1:26" ht="16.5" thickBot="1">
      <c r="A2" s="114" t="s">
        <v>30</v>
      </c>
      <c r="B2" s="115"/>
      <c r="E2" s="125" t="s">
        <v>84</v>
      </c>
      <c r="F2" s="126"/>
      <c r="G2" s="126"/>
      <c r="H2" s="126"/>
      <c r="I2" s="126"/>
      <c r="J2" s="126"/>
      <c r="K2" s="126"/>
      <c r="L2" s="127"/>
    </row>
    <row r="3" spans="1:26" ht="15.75">
      <c r="A3" s="2"/>
    </row>
    <row r="4" spans="1:26">
      <c r="E4" s="116"/>
      <c r="F4" s="116"/>
      <c r="G4" s="116"/>
      <c r="H4" s="116"/>
      <c r="I4" s="116"/>
      <c r="J4" s="116"/>
      <c r="K4" s="116"/>
      <c r="L4" s="11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1</v>
      </c>
      <c r="C6" s="13"/>
      <c r="D6" s="24"/>
      <c r="E6" s="119" t="s">
        <v>83</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45</v>
      </c>
      <c r="C9" s="3"/>
      <c r="D9" s="8"/>
      <c r="E9" s="8"/>
      <c r="F9" s="8"/>
      <c r="G9" s="8"/>
      <c r="H9" s="8"/>
      <c r="I9" s="8"/>
      <c r="J9" s="8"/>
      <c r="K9" s="8"/>
      <c r="L9" s="17"/>
      <c r="M9" s="3"/>
      <c r="U9" s="6"/>
      <c r="V9" s="7" t="s">
        <v>47</v>
      </c>
      <c r="W9" s="8">
        <v>4</v>
      </c>
      <c r="X9" s="6"/>
      <c r="Y9" s="6"/>
      <c r="Z9" s="6"/>
    </row>
    <row r="10" spans="1:26" ht="15">
      <c r="A10" s="67" t="s">
        <v>10</v>
      </c>
      <c r="B10" s="68">
        <v>8</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1</v>
      </c>
      <c r="C11" s="3"/>
      <c r="D11" s="14"/>
      <c r="F11" s="14"/>
      <c r="G11" s="26"/>
      <c r="H11" s="14"/>
      <c r="I11" s="14"/>
      <c r="J11" s="14"/>
      <c r="K11" s="18"/>
      <c r="L11" s="17"/>
      <c r="M11" s="3"/>
      <c r="N11" s="3"/>
      <c r="U11" s="6"/>
      <c r="V11" s="6"/>
      <c r="W11" s="8"/>
      <c r="X11" s="6"/>
      <c r="Y11" s="6"/>
      <c r="Z11" s="6"/>
    </row>
    <row r="12" spans="1:26" ht="15" customHeight="1">
      <c r="A12" s="89" t="str">
        <f>LOOKUP($B$11,$W$18:$W$22,$Z$18:$Z$22)</f>
        <v>$/Gallon</v>
      </c>
      <c r="B12" s="69">
        <v>2.5</v>
      </c>
      <c r="C12" s="3"/>
      <c r="D12" s="20" t="s">
        <v>18</v>
      </c>
      <c r="E12" s="19"/>
      <c r="F12" s="19"/>
      <c r="G12" s="19"/>
      <c r="H12" s="19"/>
      <c r="I12" s="20" t="s">
        <v>76</v>
      </c>
      <c r="J12" s="20"/>
      <c r="K12" s="21">
        <f>IF($B$11=1,12.5,IF($B$11=2,61.7,IF($B$11=3, 6.67,IF($B$11=4,6.89,IF($B$11=5,0.885,0)))))</f>
        <v>12.5</v>
      </c>
      <c r="L12" s="17"/>
      <c r="M12" s="4"/>
      <c r="N12" s="3"/>
      <c r="O12" s="3"/>
      <c r="U12" s="6"/>
      <c r="V12" s="9"/>
      <c r="W12" s="9"/>
      <c r="X12" s="6"/>
      <c r="Y12" s="6"/>
      <c r="Z12" s="6"/>
    </row>
    <row r="13" spans="1:26">
      <c r="A13" s="70" t="s">
        <v>17</v>
      </c>
      <c r="B13" s="71">
        <v>16</v>
      </c>
      <c r="C13" s="3"/>
      <c r="D13" s="20" t="s">
        <v>27</v>
      </c>
      <c r="E13" s="19">
        <f>IF($B$6=1,20,IF($B$6=2,25,IF($B$6=3,23,IF($B$6=4,25,IF($B$6=5,10,0)))))</f>
        <v>20</v>
      </c>
      <c r="F13" s="19"/>
      <c r="G13" s="19"/>
      <c r="H13" s="19"/>
      <c r="I13" s="20" t="s">
        <v>8</v>
      </c>
      <c r="J13" s="20"/>
      <c r="K13" s="19">
        <f>IF($B$11=1,0.0833,IF($B$11=2,0.1667,IF($B$11=3,0.1667,IF($B$11=4,0.1667,IF($B$11=5,0.05,0)))))</f>
        <v>8.3299999999999999E-2</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Center Pivot System</v>
      </c>
      <c r="F14" s="19"/>
      <c r="G14" s="19"/>
      <c r="H14" s="19"/>
      <c r="I14" s="20" t="s">
        <v>78</v>
      </c>
      <c r="J14" s="20"/>
      <c r="K14" s="19">
        <f>IF($B$11=1,12,IF($B$11=2,6,IF($B$11=3,6,IF($B$11=4,6,IF($B$11=5,30,0)))))</f>
        <v>12</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Diesel Engine &amp; Tank</v>
      </c>
      <c r="L15" s="17"/>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30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Diesel</v>
      </c>
      <c r="K21" s="48" t="s">
        <v>79</v>
      </c>
      <c r="L21" s="111"/>
      <c r="M21" s="3"/>
      <c r="U21" s="6"/>
      <c r="V21" s="7" t="s">
        <v>50</v>
      </c>
      <c r="W21" s="8">
        <v>4</v>
      </c>
      <c r="X21" s="8">
        <v>6.89</v>
      </c>
      <c r="Y21" s="8" t="s">
        <v>36</v>
      </c>
      <c r="Z21" s="6" t="s">
        <v>54</v>
      </c>
    </row>
    <row r="22" spans="1:26">
      <c r="A22" s="58" t="s">
        <v>16</v>
      </c>
      <c r="B22" s="54">
        <v>16500</v>
      </c>
      <c r="C22" s="60">
        <v>25</v>
      </c>
      <c r="D22" s="61">
        <f>B22*0.05*(-1)</f>
        <v>-825</v>
      </c>
      <c r="E22" s="49">
        <f>IF(B22&gt;0,((B22+D22)/2*$B$15/100),0)</f>
        <v>391.875</v>
      </c>
      <c r="F22" s="49">
        <f>B22*0.01</f>
        <v>165</v>
      </c>
      <c r="G22" s="49">
        <f t="shared" ref="G22:G27" si="0">(B22-D22)/C22</f>
        <v>693</v>
      </c>
      <c r="H22" s="50">
        <f>(($B$7*$B$10)/120000)*$B22</f>
        <v>137.5</v>
      </c>
      <c r="I22" s="50">
        <f>IF(B22=0,0,$B$7*$B$10*$B$13*0.001)</f>
        <v>16</v>
      </c>
      <c r="J22" s="88" t="str">
        <f>LOOKUP($B$11,W18:W22,Y18:Y22)</f>
        <v>Gallons</v>
      </c>
      <c r="K22" s="109" t="str">
        <f>IF($B$11=5,"kW+Hookup"," ")</f>
        <v xml:space="preserve"> </v>
      </c>
      <c r="L22" s="66">
        <f>SUM(E$22:K$22)</f>
        <v>1403.375</v>
      </c>
      <c r="M22" s="3"/>
      <c r="U22" s="6"/>
      <c r="V22" s="7" t="s">
        <v>37</v>
      </c>
      <c r="W22" s="8">
        <v>5</v>
      </c>
      <c r="X22" s="8">
        <v>0.88500000000000001</v>
      </c>
      <c r="Y22" s="8" t="s">
        <v>51</v>
      </c>
      <c r="Z22" s="6" t="s">
        <v>55</v>
      </c>
    </row>
    <row r="23" spans="1:26">
      <c r="A23" s="58" t="s">
        <v>15</v>
      </c>
      <c r="B23" s="54">
        <v>11163</v>
      </c>
      <c r="C23" s="60">
        <v>18</v>
      </c>
      <c r="D23" s="61">
        <f>B23*0.05</f>
        <v>558.15</v>
      </c>
      <c r="E23" s="49">
        <f t="shared" ref="E23:E28" si="1">IF(B23&gt;0,((B23+D23)/2*$B$15/100),0)</f>
        <v>293.02875</v>
      </c>
      <c r="F23" s="49">
        <f>B23*0.01</f>
        <v>111.63</v>
      </c>
      <c r="G23" s="49">
        <f t="shared" si="0"/>
        <v>589.1583333333333</v>
      </c>
      <c r="H23" s="50">
        <f>(($B$7*$B$10)/75000)*$B23+$B$7*$B$10/65*$B$16</f>
        <v>218.07076923076923</v>
      </c>
      <c r="I23" s="50">
        <f>IF(B23=0,0,$B$7*$B$10*$B$13*0.004)</f>
        <v>64</v>
      </c>
      <c r="J23" s="50"/>
      <c r="K23" s="107" t="str">
        <f>IF($B$11=5,"$/kW-h"," ")</f>
        <v xml:space="preserve"> </v>
      </c>
      <c r="L23" s="66">
        <f t="shared" ref="L23:L28" si="2">SUM(E23:K23)</f>
        <v>1275.8878525641026</v>
      </c>
      <c r="M23" s="3"/>
      <c r="U23" s="6"/>
      <c r="V23" s="12"/>
      <c r="W23" s="9"/>
      <c r="X23" s="8"/>
      <c r="Y23" s="11"/>
      <c r="Z23" s="6"/>
    </row>
    <row r="24" spans="1:26">
      <c r="A24" s="58" t="s">
        <v>9</v>
      </c>
      <c r="B24" s="55">
        <v>2800</v>
      </c>
      <c r="C24" s="60">
        <v>15</v>
      </c>
      <c r="D24" s="61">
        <f>B24*0.05</f>
        <v>140</v>
      </c>
      <c r="E24" s="49">
        <f t="shared" si="1"/>
        <v>73.5</v>
      </c>
      <c r="F24" s="49">
        <f>B24*0.01</f>
        <v>28</v>
      </c>
      <c r="G24" s="49">
        <f t="shared" si="0"/>
        <v>177.33333333333334</v>
      </c>
      <c r="H24" s="50">
        <f>(($B$7*$B$10)/120000)*$B24</f>
        <v>23.333333333333332</v>
      </c>
      <c r="I24" s="50">
        <f>IF(B24=0,0,$B$7*$B$10*$B$13*0.001)</f>
        <v>16</v>
      </c>
      <c r="J24" s="50"/>
      <c r="K24" s="51" t="str">
        <f>IF($B$11=5,K26/J26," ")</f>
        <v xml:space="preserve"> </v>
      </c>
      <c r="L24" s="66">
        <f t="shared" si="2"/>
        <v>318.16666666666669</v>
      </c>
      <c r="M24" s="3"/>
    </row>
    <row r="25" spans="1:26">
      <c r="A25" s="58" t="s">
        <v>23</v>
      </c>
      <c r="B25" s="54">
        <v>1100</v>
      </c>
      <c r="C25" s="60">
        <v>25</v>
      </c>
      <c r="D25" s="61">
        <f>B25*0.05</f>
        <v>55</v>
      </c>
      <c r="E25" s="49">
        <f t="shared" si="1"/>
        <v>28.875</v>
      </c>
      <c r="F25" s="49">
        <f>B25*0.01</f>
        <v>11</v>
      </c>
      <c r="G25" s="49">
        <f t="shared" si="0"/>
        <v>41.8</v>
      </c>
      <c r="H25" s="50">
        <f>(($B$7*$B$10)/100000)*$B25</f>
        <v>11</v>
      </c>
      <c r="I25" s="50">
        <f>IF(B25=0,0,$B$7*$B$10*$B$13*0.001)</f>
        <v>16</v>
      </c>
      <c r="J25" s="50"/>
      <c r="K25" s="51"/>
      <c r="L25" s="66">
        <f t="shared" si="2"/>
        <v>108.675</v>
      </c>
      <c r="M25" s="3"/>
    </row>
    <row r="26" spans="1:26">
      <c r="A26" s="58" t="str">
        <f>K15</f>
        <v>Diesel Engine &amp; Tank</v>
      </c>
      <c r="B26" s="54">
        <v>11500</v>
      </c>
      <c r="C26" s="62">
        <f>$K$14</f>
        <v>12</v>
      </c>
      <c r="D26" s="61">
        <f>B26*0.05</f>
        <v>575</v>
      </c>
      <c r="E26" s="49">
        <f t="shared" si="1"/>
        <v>301.875</v>
      </c>
      <c r="F26" s="49">
        <f>B26*0.02</f>
        <v>230</v>
      </c>
      <c r="G26" s="49">
        <f t="shared" si="0"/>
        <v>910.41666666666663</v>
      </c>
      <c r="H26" s="50">
        <f>(($B$7*$B$10)/50000)*$B26+(K26*0.05)</f>
        <v>507.21590909090907</v>
      </c>
      <c r="I26" s="50">
        <f>IF(B26=0,0,IF($B$11=4,$B$7*$B$10*$B$13*0.0025,$B$7*$B$10*$B$13*0.015))</f>
        <v>240</v>
      </c>
      <c r="J26" s="87">
        <f>(((($B$9*2.31+$B$8)*450*$B$10)*$B$7/(3960))/$K$12)</f>
        <v>2217.7272727272725</v>
      </c>
      <c r="K26" s="50">
        <f>IF($B$11=5,+$B$18+((($B$9*2.31+$B$8)*450*$B$10*$B$12)/(3960*$K$12))*B7,((($B$9*2.31+$B$8)*450*$B$10*$B$12)/(3960*$K$12))*$B$7)</f>
        <v>5544.3181818181811</v>
      </c>
      <c r="L26" s="66">
        <f>SUM(E26:I26)+K26</f>
        <v>7733.8257575757561</v>
      </c>
      <c r="M26" s="3"/>
    </row>
    <row r="27" spans="1:26">
      <c r="A27" s="58" t="str">
        <f>E14</f>
        <v>Center Pivot System</v>
      </c>
      <c r="B27" s="54">
        <v>75000</v>
      </c>
      <c r="C27" s="62">
        <f>$E$13</f>
        <v>20</v>
      </c>
      <c r="D27" s="61">
        <f>B27*0.05</f>
        <v>3750</v>
      </c>
      <c r="E27" s="49">
        <f t="shared" si="1"/>
        <v>1968.75</v>
      </c>
      <c r="F27" s="49">
        <f>IF($B$6=1,$B27*0.02,IF($B$6=2,$B27*0.01,IF($B$6=3,$B27*0.01,$B27*0.005)))</f>
        <v>1500</v>
      </c>
      <c r="G27" s="49">
        <f t="shared" si="0"/>
        <v>3562.5</v>
      </c>
      <c r="H27" s="50">
        <f>IF($B$6=1,$B$7*$B$10/40000*$B27,IF($B$6=2,$B$7*$B$10/50000*$B27,IF($B$6=3,$B$7*$B$10/40000*$B27,IF($B$6=4,$B$7*$B$10/50000*$B27+$B$7*2,$B$7*$B$10/125000*$B27))))</f>
        <v>1875</v>
      </c>
      <c r="I27" s="50">
        <f>IF(B27=0,0,$B$7*$B$10*$B$13/100*$E$12)</f>
        <v>0</v>
      </c>
      <c r="J27" s="50"/>
      <c r="K27" s="50">
        <f>IF($B$6=1,($B$7*$B$10)*0.66/$K$12*$B$12,0)</f>
        <v>132</v>
      </c>
      <c r="L27" s="66">
        <f t="shared" si="2"/>
        <v>9038.25</v>
      </c>
      <c r="M27" s="3"/>
    </row>
    <row r="28" spans="1:26">
      <c r="A28" s="73" t="str">
        <f>IF($B$6=2,"Reuse? (Assume 20%)",IF($B$6=3,"Reuse? (Assume 10%)"," "))</f>
        <v xml:space="preserve"> </v>
      </c>
      <c r="B28" s="54">
        <v>0</v>
      </c>
      <c r="C28" s="56" t="str">
        <f>IF($B$6=2,25,"  ")</f>
        <v xml:space="preserve">  </v>
      </c>
      <c r="D28" s="61">
        <f>IF(B6=2,B28*0.05,0)</f>
        <v>0</v>
      </c>
      <c r="E28" s="49">
        <f t="shared" si="1"/>
        <v>0</v>
      </c>
      <c r="F28" s="49">
        <f>IF(B6=2,B28*0.02,0)</f>
        <v>0</v>
      </c>
      <c r="G28" s="49">
        <f>IF(B6=2,(B28-D28)/C28,0)</f>
        <v>0</v>
      </c>
      <c r="H28" s="50">
        <f>IF(B6=2,(($B$7*$B$10)/40000)*$B28,0)</f>
        <v>0</v>
      </c>
      <c r="I28" s="50">
        <f>IF(B6=2,IF(B28=0,0,$B$7*$B$10*$B$13*0.02),0)</f>
        <v>0</v>
      </c>
      <c r="J28" s="50"/>
      <c r="K28" s="50">
        <f>IF(B6=2,IF(B28=0,0,IF($B$6=2,((($B$9*2.31+20)*450*$B$10/5*$B$12)/(3960*$K$12))*$B$7,((($B$9*2.31+20)*450*$B$10/10*$B$12)/(3960*$K$12))*$B$7)),0)</f>
        <v>0</v>
      </c>
      <c r="L28" s="66">
        <f t="shared" si="2"/>
        <v>0</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3750</v>
      </c>
      <c r="G30" s="52"/>
      <c r="H30" s="53"/>
      <c r="I30" s="53"/>
      <c r="J30" s="53"/>
      <c r="K30" s="50"/>
      <c r="L30" s="66">
        <f>F30</f>
        <v>3750</v>
      </c>
      <c r="M30" s="3"/>
    </row>
    <row r="31" spans="1:26" ht="13.5" thickBot="1">
      <c r="A31" s="95" t="s">
        <v>29</v>
      </c>
      <c r="B31" s="96">
        <f>SUM(B22:B29)</f>
        <v>118063</v>
      </c>
      <c r="C31" s="96"/>
      <c r="D31" s="96">
        <f t="shared" ref="D31:K31" si="3">SUM(D22:D29)</f>
        <v>4253.1499999999996</v>
      </c>
      <c r="E31" s="97">
        <f t="shared" si="3"/>
        <v>3057.9037499999999</v>
      </c>
      <c r="F31" s="49">
        <f t="shared" si="3"/>
        <v>2045.63</v>
      </c>
      <c r="G31" s="49">
        <f t="shared" si="3"/>
        <v>5974.208333333333</v>
      </c>
      <c r="H31" s="50">
        <f t="shared" si="3"/>
        <v>2772.1200116550117</v>
      </c>
      <c r="I31" s="50">
        <f t="shared" si="3"/>
        <v>352</v>
      </c>
      <c r="J31" s="50"/>
      <c r="K31" s="50">
        <f t="shared" si="3"/>
        <v>5676.3181818181811</v>
      </c>
      <c r="L31" s="66">
        <f>SUM(L22:L30)</f>
        <v>23628.180276806524</v>
      </c>
      <c r="M31" s="3"/>
    </row>
    <row r="32" spans="1:26" ht="13.5" thickBot="1">
      <c r="A32" s="98"/>
      <c r="B32" s="13"/>
      <c r="C32" s="13"/>
      <c r="D32" s="13"/>
      <c r="E32" s="99"/>
      <c r="F32" s="3"/>
      <c r="G32" s="3"/>
      <c r="H32" s="3"/>
      <c r="I32" s="3"/>
      <c r="J32" s="3"/>
      <c r="K32" s="3"/>
      <c r="L32" s="3"/>
    </row>
    <row r="33" spans="1:13">
      <c r="A33" s="100" t="s">
        <v>72</v>
      </c>
      <c r="B33" s="3"/>
      <c r="C33" s="3"/>
      <c r="D33" s="3"/>
      <c r="E33" s="101"/>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14827.742083333334</v>
      </c>
      <c r="H35" s="29"/>
      <c r="I35" s="44">
        <f>SUM(H22:H28)+SUM(I22:I28)+SUM(K22:K28)+L29</f>
        <v>8800.4381934731937</v>
      </c>
      <c r="J35" s="44"/>
      <c r="K35" s="40"/>
      <c r="L35" s="63">
        <f>G35+I35</f>
        <v>23628.180276806528</v>
      </c>
      <c r="M35" s="3"/>
    </row>
    <row r="36" spans="1:13">
      <c r="A36" s="85" t="s">
        <v>66</v>
      </c>
      <c r="B36" s="3"/>
      <c r="C36" s="3"/>
      <c r="D36" s="3"/>
      <c r="E36" s="101"/>
      <c r="F36" s="77" t="s">
        <v>3</v>
      </c>
      <c r="G36" s="41">
        <f>G35/$B$7</f>
        <v>118.62193666666667</v>
      </c>
      <c r="H36" s="29"/>
      <c r="I36" s="42">
        <f>I35/$B$7</f>
        <v>70.403505547785556</v>
      </c>
      <c r="J36" s="42"/>
      <c r="K36" s="40"/>
      <c r="L36" s="64">
        <f>G36+I36</f>
        <v>189.02544221445223</v>
      </c>
      <c r="M36" s="3"/>
    </row>
    <row r="37" spans="1:13" ht="13.5" thickBot="1">
      <c r="A37" s="100" t="s">
        <v>73</v>
      </c>
      <c r="B37" s="3"/>
      <c r="C37" s="3"/>
      <c r="D37" s="3"/>
      <c r="E37" s="101"/>
      <c r="F37" s="78" t="s">
        <v>0</v>
      </c>
      <c r="G37" s="36">
        <f>G35/($B$10*$B$7)</f>
        <v>14.827742083333334</v>
      </c>
      <c r="H37" s="37"/>
      <c r="I37" s="38">
        <f>I35/($B$10*$B$7)</f>
        <v>8.8004381934731946</v>
      </c>
      <c r="J37" s="38"/>
      <c r="K37" s="39"/>
      <c r="L37" s="65">
        <f>G37+I37</f>
        <v>23.628180276806528</v>
      </c>
      <c r="M37" s="3"/>
    </row>
    <row r="38" spans="1:13">
      <c r="A38" s="85" t="s">
        <v>67</v>
      </c>
      <c r="B38" s="3"/>
      <c r="C38" s="3"/>
      <c r="D38" s="3"/>
      <c r="E38" s="101"/>
      <c r="F38" s="3"/>
      <c r="G38" s="3"/>
      <c r="H38" s="3"/>
      <c r="I38" s="3"/>
      <c r="J38" s="3"/>
      <c r="K38" s="3"/>
      <c r="L38" s="3"/>
      <c r="M38" s="3"/>
    </row>
    <row r="39" spans="1:13">
      <c r="A39" s="100" t="s">
        <v>81</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formatColumns="0"/>
  <mergeCells count="11">
    <mergeCell ref="V17:Y17"/>
    <mergeCell ref="V5:Y5"/>
    <mergeCell ref="E6:K6"/>
    <mergeCell ref="A1:L1"/>
    <mergeCell ref="D10:L10"/>
    <mergeCell ref="L33:L34"/>
    <mergeCell ref="L20:L21"/>
    <mergeCell ref="E7:K7"/>
    <mergeCell ref="A2:B2"/>
    <mergeCell ref="E2:L2"/>
    <mergeCell ref="E4:L4"/>
  </mergeCells>
  <phoneticPr fontId="4" type="noConversion"/>
  <conditionalFormatting sqref="F18:G18 D18">
    <cfRule type="expression" dxfId="47" priority="1" stopIfTrue="1">
      <formula>$B$11=5</formula>
    </cfRule>
    <cfRule type="expression" dxfId="46" priority="2" stopIfTrue="1">
      <formula>$B$11&lt;5</formula>
    </cfRule>
  </conditionalFormatting>
  <conditionalFormatting sqref="C18 E18">
    <cfRule type="expression" dxfId="45" priority="3" stopIfTrue="1">
      <formula>$B$11=5</formula>
    </cfRule>
    <cfRule type="expression" dxfId="44" priority="4" stopIfTrue="1">
      <formula>$B$11&lt;5</formula>
    </cfRule>
  </conditionalFormatting>
  <conditionalFormatting sqref="B18">
    <cfRule type="expression" dxfId="43" priority="5" stopIfTrue="1">
      <formula>$B$11=5</formula>
    </cfRule>
    <cfRule type="expression" dxfId="42" priority="6" stopIfTrue="1">
      <formula>$B$11&lt;5</formula>
    </cfRule>
  </conditionalFormatting>
  <pageMargins left="0.25" right="0.25" top="0.5" bottom="0.5" header="0" footer="0"/>
  <pageSetup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Z47"/>
  <sheetViews>
    <sheetView workbookViewId="0">
      <selection activeCell="E22" sqref="E22:E28"/>
    </sheetView>
  </sheetViews>
  <sheetFormatPr defaultRowHeight="12.75"/>
  <cols>
    <col min="1" max="1" width="24.7109375" customWidth="1"/>
    <col min="2" max="2" width="10.85546875" customWidth="1"/>
    <col min="3" max="3" width="5.85546875" customWidth="1"/>
    <col min="4" max="4" width="9.28515625" customWidth="1"/>
    <col min="5" max="5" width="8.28515625" customWidth="1"/>
    <col min="6" max="6" width="14.140625" customWidth="1"/>
    <col min="7" max="7" width="12.42578125" customWidth="1"/>
    <col min="8" max="8" width="9.28515625" customWidth="1"/>
    <col min="9" max="9" width="12.28515625" customWidth="1"/>
    <col min="10" max="10" width="8.140625" customWidth="1"/>
    <col min="11" max="11" width="10.28515625" customWidth="1"/>
    <col min="12"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31</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1</v>
      </c>
      <c r="C6" s="13"/>
      <c r="D6" s="24"/>
      <c r="E6" s="119" t="s">
        <v>57</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45</v>
      </c>
      <c r="C9" s="3"/>
      <c r="D9" s="8"/>
      <c r="E9" s="8"/>
      <c r="F9" s="8"/>
      <c r="G9" s="8"/>
      <c r="H9" s="8"/>
      <c r="I9" s="8"/>
      <c r="J9" s="8"/>
      <c r="K9" s="8"/>
      <c r="L9" s="17"/>
      <c r="M9" s="3"/>
      <c r="U9" s="6"/>
      <c r="V9" s="7" t="s">
        <v>47</v>
      </c>
      <c r="W9" s="8">
        <v>4</v>
      </c>
      <c r="X9" s="6"/>
      <c r="Y9" s="6"/>
      <c r="Z9" s="6"/>
    </row>
    <row r="10" spans="1:26" ht="15">
      <c r="A10" s="67" t="s">
        <v>10</v>
      </c>
      <c r="B10" s="68">
        <v>8</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2</v>
      </c>
      <c r="C11" s="3"/>
      <c r="D11" s="14"/>
      <c r="F11" s="14"/>
      <c r="G11" s="26"/>
      <c r="H11" s="14"/>
      <c r="I11" s="14"/>
      <c r="J11" s="14"/>
      <c r="K11" s="18"/>
      <c r="L11" s="17"/>
      <c r="M11" s="3"/>
      <c r="N11" s="3"/>
      <c r="U11" s="6"/>
      <c r="V11" s="6"/>
      <c r="W11" s="8"/>
      <c r="X11" s="6"/>
      <c r="Y11" s="6"/>
      <c r="Z11" s="6"/>
    </row>
    <row r="12" spans="1:26" ht="15" customHeight="1">
      <c r="A12" s="89" t="str">
        <f>LOOKUP($B$11,$W$18:$W$22,$Z$18:$Z$22)</f>
        <v>$/MCF</v>
      </c>
      <c r="B12" s="69">
        <v>8</v>
      </c>
      <c r="C12" s="3"/>
      <c r="D12" s="20" t="s">
        <v>18</v>
      </c>
      <c r="E12" s="19">
        <f>IF($B$6=1,3,IF($B$6=2,5,IF($B$6=3,5,IF($B$6=4,7,IF($B$6=5,2,0)))))</f>
        <v>3</v>
      </c>
      <c r="F12" s="19"/>
      <c r="G12" s="19"/>
      <c r="H12" s="19"/>
      <c r="I12" s="20" t="s">
        <v>76</v>
      </c>
      <c r="J12" s="20"/>
      <c r="K12" s="21">
        <f>IF($B$11=1,12.5,IF($B$11=2,61.7,IF($B$11=3, 6.67,IF($B$11=4,6.89,IF($B$11=5,0.885,0)))))</f>
        <v>61.7</v>
      </c>
      <c r="L12" s="17"/>
      <c r="M12" s="4"/>
      <c r="N12" s="3"/>
      <c r="O12" s="3"/>
      <c r="U12" s="6"/>
      <c r="V12" s="9"/>
      <c r="W12" s="9"/>
      <c r="X12" s="6"/>
      <c r="Y12" s="6"/>
      <c r="Z12" s="6"/>
    </row>
    <row r="13" spans="1:26">
      <c r="A13" s="70" t="s">
        <v>17</v>
      </c>
      <c r="B13" s="71">
        <v>16</v>
      </c>
      <c r="C13" s="3"/>
      <c r="D13" s="20" t="s">
        <v>27</v>
      </c>
      <c r="E13" s="19">
        <f>IF($B$6=1,20,IF($B$6=2,25,IF($B$6=3,23,IF($B$6=4,25,IF($B$6=5,10,0)))))</f>
        <v>20</v>
      </c>
      <c r="F13" s="19"/>
      <c r="G13" s="19"/>
      <c r="H13" s="19"/>
      <c r="I13" s="20" t="s">
        <v>8</v>
      </c>
      <c r="J13" s="20"/>
      <c r="K13" s="19">
        <f>IF($B$11=1,0.0833,IF($B$11=2,0.1667,IF($B$11=3,0.1667,IF($B$11=4,0.1667,IF($B$11=5,0.05,0)))))</f>
        <v>0.16669999999999999</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Center Pivot System</v>
      </c>
      <c r="F14" s="19"/>
      <c r="G14" s="19"/>
      <c r="H14" s="19"/>
      <c r="I14" s="20" t="s">
        <v>78</v>
      </c>
      <c r="J14" s="20"/>
      <c r="K14" s="19">
        <f>IF($B$11=1,12,IF($B$11=2,6,IF($B$11=3,6,IF($B$11=4,6,IF($B$11=5,30,0)))))</f>
        <v>6</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Nat.Gas Engine</v>
      </c>
      <c r="L15" s="17"/>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Nat Gas</v>
      </c>
      <c r="K21" s="48" t="s">
        <v>79</v>
      </c>
      <c r="L21" s="111"/>
      <c r="M21" s="3"/>
      <c r="U21" s="6"/>
      <c r="V21" s="7" t="s">
        <v>50</v>
      </c>
      <c r="W21" s="8">
        <v>4</v>
      </c>
      <c r="X21" s="8">
        <v>6.89</v>
      </c>
      <c r="Y21" s="8" t="s">
        <v>36</v>
      </c>
      <c r="Z21" s="6" t="s">
        <v>54</v>
      </c>
    </row>
    <row r="22" spans="1:26">
      <c r="A22" s="58" t="s">
        <v>16</v>
      </c>
      <c r="B22" s="54">
        <v>16500</v>
      </c>
      <c r="C22" s="60">
        <v>25</v>
      </c>
      <c r="D22" s="61">
        <f>B22*0.05*(-1)</f>
        <v>-825</v>
      </c>
      <c r="E22" s="49">
        <f t="shared" ref="E22:E28" si="0">IF(B22&gt;0,((B22+D22)/2*$B$15/100),0)</f>
        <v>391.875</v>
      </c>
      <c r="F22" s="49">
        <f>B22*0.01</f>
        <v>165</v>
      </c>
      <c r="G22" s="49">
        <f t="shared" ref="G22:G27" si="1">(B22-D22)/C22</f>
        <v>693</v>
      </c>
      <c r="H22" s="50">
        <f>(($B$7*$B$10)/120000)*$B22</f>
        <v>137.5</v>
      </c>
      <c r="I22" s="50">
        <f>IF(B22=0,0,$B$7*$B$10*$B$13*0.001)</f>
        <v>16</v>
      </c>
      <c r="J22" s="88" t="str">
        <f>LOOKUP($B$11,W18:W22,Y18:Y22)</f>
        <v>MCF</v>
      </c>
      <c r="K22" s="109" t="str">
        <f>IF($B$11=5,"kW+Hookup"," ")</f>
        <v xml:space="preserve"> </v>
      </c>
      <c r="L22" s="66">
        <f>SUM(E$22:K$22)</f>
        <v>1403.375</v>
      </c>
      <c r="M22" s="3"/>
      <c r="U22" s="6"/>
      <c r="V22" s="7" t="s">
        <v>37</v>
      </c>
      <c r="W22" s="8">
        <v>5</v>
      </c>
      <c r="X22" s="8">
        <v>0.88500000000000001</v>
      </c>
      <c r="Y22" s="8" t="s">
        <v>51</v>
      </c>
      <c r="Z22" s="6" t="s">
        <v>55</v>
      </c>
    </row>
    <row r="23" spans="1:26">
      <c r="A23" s="58" t="s">
        <v>15</v>
      </c>
      <c r="B23" s="54">
        <v>11163</v>
      </c>
      <c r="C23" s="60">
        <v>18</v>
      </c>
      <c r="D23" s="61">
        <f>B23*0.05</f>
        <v>558.15</v>
      </c>
      <c r="E23" s="49">
        <f t="shared" si="0"/>
        <v>293.02875</v>
      </c>
      <c r="F23" s="49">
        <f>B23*0.01</f>
        <v>111.63</v>
      </c>
      <c r="G23" s="49">
        <f t="shared" si="1"/>
        <v>589.1583333333333</v>
      </c>
      <c r="H23" s="50">
        <f>(($B$7*$B$10)/75000)*$B23+$B$7*$B$10/65*$B$16</f>
        <v>218.07076923076923</v>
      </c>
      <c r="I23" s="50">
        <f>IF(B23=0,0,$B$7*$B$10*$B$13*0.004)</f>
        <v>64</v>
      </c>
      <c r="J23" s="50"/>
      <c r="K23" s="107" t="str">
        <f>IF($B$11=5,"$/kW-h"," ")</f>
        <v xml:space="preserve"> </v>
      </c>
      <c r="L23" s="66">
        <f>SUM(E23:K23)</f>
        <v>1275.8878525641026</v>
      </c>
      <c r="M23" s="3"/>
      <c r="U23" s="6"/>
      <c r="V23" s="12"/>
      <c r="W23" s="9"/>
      <c r="X23" s="8"/>
      <c r="Y23" s="11"/>
      <c r="Z23" s="6"/>
    </row>
    <row r="24" spans="1:26">
      <c r="A24" s="58" t="s">
        <v>9</v>
      </c>
      <c r="B24" s="55">
        <v>2800</v>
      </c>
      <c r="C24" s="60">
        <v>15</v>
      </c>
      <c r="D24" s="61">
        <f>B24*0.05</f>
        <v>140</v>
      </c>
      <c r="E24" s="49">
        <f t="shared" si="0"/>
        <v>73.5</v>
      </c>
      <c r="F24" s="49">
        <f>B24*0.01</f>
        <v>28</v>
      </c>
      <c r="G24" s="49">
        <f t="shared" si="1"/>
        <v>177.33333333333334</v>
      </c>
      <c r="H24" s="50">
        <f>(($B$7*$B$10)/120000)*$B24</f>
        <v>23.333333333333332</v>
      </c>
      <c r="I24" s="50">
        <f>IF(B24=0,0,$B$7*$B$10*$B$13*0.001)</f>
        <v>16</v>
      </c>
      <c r="J24" s="50"/>
      <c r="K24" s="51" t="str">
        <f>IF($B$11=5,K26/J26," ")</f>
        <v xml:space="preserve"> </v>
      </c>
      <c r="L24" s="66">
        <f>SUM(E24:K24)</f>
        <v>318.16666666666669</v>
      </c>
      <c r="M24" s="3"/>
    </row>
    <row r="25" spans="1:26">
      <c r="A25" s="58" t="s">
        <v>23</v>
      </c>
      <c r="B25" s="54">
        <v>1100</v>
      </c>
      <c r="C25" s="60">
        <v>25</v>
      </c>
      <c r="D25" s="61">
        <f>B25*0.05</f>
        <v>55</v>
      </c>
      <c r="E25" s="49">
        <f t="shared" si="0"/>
        <v>28.875</v>
      </c>
      <c r="F25" s="49">
        <f>B25*0.01</f>
        <v>11</v>
      </c>
      <c r="G25" s="49">
        <f t="shared" si="1"/>
        <v>41.8</v>
      </c>
      <c r="H25" s="50">
        <f>(($B$7*$B$10)/100000)*$B25</f>
        <v>11</v>
      </c>
      <c r="I25" s="50">
        <f>IF(B25=0,0,$B$7*$B$10*$B$13*0.001)</f>
        <v>16</v>
      </c>
      <c r="J25" s="50"/>
      <c r="K25" s="51"/>
      <c r="L25" s="66">
        <f>SUM(E25:K25)</f>
        <v>108.675</v>
      </c>
      <c r="M25" s="3"/>
    </row>
    <row r="26" spans="1:26">
      <c r="A26" s="58" t="str">
        <f>K15</f>
        <v>Nat.Gas Engine</v>
      </c>
      <c r="B26" s="54">
        <v>5200</v>
      </c>
      <c r="C26" s="62">
        <f>$K$14</f>
        <v>6</v>
      </c>
      <c r="D26" s="61">
        <f>B26*0.05</f>
        <v>260</v>
      </c>
      <c r="E26" s="49">
        <f t="shared" si="0"/>
        <v>136.5</v>
      </c>
      <c r="F26" s="49">
        <f>B26*0.02</f>
        <v>104</v>
      </c>
      <c r="G26" s="49">
        <f t="shared" si="1"/>
        <v>823.33333333333337</v>
      </c>
      <c r="H26" s="50">
        <f>(($B$7*$B$10)/50000)*$B26+(K26*0.05)</f>
        <v>283.71857963754235</v>
      </c>
      <c r="I26" s="50">
        <f>IF(B26=0,0,IF($B$11=4,$B$7*$B$10*$B$13*0.0025,$B$7*$B$10*$B$13*0.015))</f>
        <v>240</v>
      </c>
      <c r="J26" s="87">
        <f>(((($B$9*2.31+$B$8)*450*$B$10)*$B$7/(3960))/$K$12)</f>
        <v>449.29644909385587</v>
      </c>
      <c r="K26" s="50">
        <f>IF($B$11=5,+$B$18+((($B$9*2.31+$B$8)*450*$B$10*$B$12)/(3960*$K$12))*B7,((($B$9*2.31+$B$8)*450*$B$10*$B$12)/(3960*$K$12))*$B$7)</f>
        <v>3594.3715927508474</v>
      </c>
      <c r="L26" s="66">
        <f>SUM(E26:I26)+K26</f>
        <v>5181.9235057217229</v>
      </c>
      <c r="M26" s="3"/>
    </row>
    <row r="27" spans="1:26">
      <c r="A27" s="58" t="str">
        <f>E14</f>
        <v>Center Pivot System</v>
      </c>
      <c r="B27" s="54">
        <v>52000</v>
      </c>
      <c r="C27" s="62">
        <f>$E$13</f>
        <v>20</v>
      </c>
      <c r="D27" s="61">
        <f>B27*0.05</f>
        <v>2600</v>
      </c>
      <c r="E27" s="49">
        <f t="shared" si="0"/>
        <v>1365</v>
      </c>
      <c r="F27" s="49">
        <f>IF($B$6=1,$B27*0.02,IF($B$6=2,$B27*0.01,IF($B$6=3,$B27*0.01,$B27*0.005)))</f>
        <v>1040</v>
      </c>
      <c r="G27" s="49">
        <f t="shared" si="1"/>
        <v>2470</v>
      </c>
      <c r="H27" s="50">
        <f>IF($B$6=1,$B$7*$B$10/40000*$B27,IF($B$6=2,$B$7*$B$10/50000*$B27,IF($B$6=3,$B$7*$B$10/40000*$B27,IF($B$6=4,$B$7*$B$10/50000*$B27+$B$7*2,$B$7*$B$10/125000*$B27))))</f>
        <v>1300</v>
      </c>
      <c r="I27" s="50">
        <f>IF(B27=0,0,$B$7*$B$10*$B$13/100*$E$12)</f>
        <v>480</v>
      </c>
      <c r="J27" s="50"/>
      <c r="K27" s="50">
        <f>IF($B$6=1,($B$7*$B$10)*0.66/$K$12*$B$12,0)</f>
        <v>85.575364667747166</v>
      </c>
      <c r="L27" s="66">
        <f>SUM(E27:K27)</f>
        <v>6740.5753646677467</v>
      </c>
      <c r="M27" s="3"/>
    </row>
    <row r="28" spans="1:26">
      <c r="A28" s="73" t="str">
        <f>IF($B$6=2,"Reuse? (Assume 20%)",IF($B$6=3,"Reuse? (Assume 10%)"," "))</f>
        <v xml:space="preserve"> </v>
      </c>
      <c r="B28" s="54">
        <v>0</v>
      </c>
      <c r="C28" s="56" t="str">
        <f>IF($B$6=2,25,"  ")</f>
        <v xml:space="preserve">  </v>
      </c>
      <c r="D28" s="61">
        <f>IF(B6=2,B28*0.05,0)</f>
        <v>0</v>
      </c>
      <c r="E28" s="49">
        <f t="shared" si="0"/>
        <v>0</v>
      </c>
      <c r="F28" s="49">
        <f>IF(B6=2,B28*0.02,0)</f>
        <v>0</v>
      </c>
      <c r="G28" s="49">
        <f>IF(B6=2,(B28-D28)/C28,0)</f>
        <v>0</v>
      </c>
      <c r="H28" s="50">
        <f>IF(B6=2,(($B$7*$B$10)/40000)*$B28,0)</f>
        <v>0</v>
      </c>
      <c r="I28" s="50">
        <f>IF(B6=2,IF(B28=0,0,$B$7*$B$10*$B$13*0.02),0)</f>
        <v>0</v>
      </c>
      <c r="J28" s="50"/>
      <c r="K28" s="50">
        <f>IF(B6=2,IF(B28=0,0,IF($B$6=2,((($B$9*2.31+20)*450*$B$10/5*$B$12)/(3960*$K$12))*$B$7,((($B$9*2.31+20)*450*$B$10/10*$B$12)/(3960*$K$12))*$B$7)),0)</f>
        <v>0</v>
      </c>
      <c r="L28" s="66">
        <f>SUM(E28:K28)</f>
        <v>0</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2500</v>
      </c>
      <c r="G30" s="52"/>
      <c r="H30" s="53"/>
      <c r="I30" s="53"/>
      <c r="J30" s="53"/>
      <c r="K30" s="50"/>
      <c r="L30" s="66">
        <f>F30</f>
        <v>2500</v>
      </c>
      <c r="M30" s="3"/>
    </row>
    <row r="31" spans="1:26">
      <c r="A31" s="58" t="s">
        <v>29</v>
      </c>
      <c r="B31" s="61">
        <f>SUM(B22:B29)</f>
        <v>88763</v>
      </c>
      <c r="C31" s="61"/>
      <c r="D31" s="61">
        <f t="shared" ref="D31:I31" si="2">SUM(D22:D29)</f>
        <v>2788.15</v>
      </c>
      <c r="E31" s="49">
        <f t="shared" si="2"/>
        <v>2288.7787499999999</v>
      </c>
      <c r="F31" s="49">
        <f t="shared" si="2"/>
        <v>1459.63</v>
      </c>
      <c r="G31" s="49">
        <f t="shared" si="2"/>
        <v>4794.625</v>
      </c>
      <c r="H31" s="50">
        <f t="shared" si="2"/>
        <v>1973.6226822016449</v>
      </c>
      <c r="I31" s="50">
        <f t="shared" si="2"/>
        <v>832</v>
      </c>
      <c r="J31" s="50"/>
      <c r="K31" s="50">
        <f>SUM(K22:K29)</f>
        <v>3679.9469574185946</v>
      </c>
      <c r="L31" s="66">
        <f>SUM(L22:L30)</f>
        <v>17528.603389620239</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11043.033750000001</v>
      </c>
      <c r="H35" s="29"/>
      <c r="I35" s="44">
        <f>SUM(H22:H28)+SUM(I22:I28)+SUM(K22:K28)+L29</f>
        <v>6485.5696396202402</v>
      </c>
      <c r="J35" s="44"/>
      <c r="K35" s="40"/>
      <c r="L35" s="63">
        <f>G35+I35</f>
        <v>17528.603389620243</v>
      </c>
      <c r="M35" s="3"/>
    </row>
    <row r="36" spans="1:13">
      <c r="A36" s="85" t="s">
        <v>66</v>
      </c>
      <c r="B36" s="3"/>
      <c r="C36" s="3"/>
      <c r="D36" s="3"/>
      <c r="E36" s="101"/>
      <c r="F36" s="77" t="s">
        <v>3</v>
      </c>
      <c r="G36" s="41">
        <f>G35/$B$7</f>
        <v>88.344270000000009</v>
      </c>
      <c r="H36" s="29"/>
      <c r="I36" s="42">
        <f>I35/$B$7</f>
        <v>51.884557116961922</v>
      </c>
      <c r="J36" s="42"/>
      <c r="K36" s="40"/>
      <c r="L36" s="64">
        <f>G36+I36</f>
        <v>140.22882711696192</v>
      </c>
      <c r="M36" s="3"/>
    </row>
    <row r="37" spans="1:13" ht="13.5" thickBot="1">
      <c r="A37" s="100" t="s">
        <v>73</v>
      </c>
      <c r="B37" s="3"/>
      <c r="C37" s="3"/>
      <c r="D37" s="3"/>
      <c r="E37" s="101"/>
      <c r="F37" s="78" t="s">
        <v>0</v>
      </c>
      <c r="G37" s="36">
        <f>G35/($B$10*$B$7)</f>
        <v>11.043033750000001</v>
      </c>
      <c r="H37" s="37"/>
      <c r="I37" s="38">
        <f>I35/($B$10*$B$7)</f>
        <v>6.4855696396202402</v>
      </c>
      <c r="J37" s="38"/>
      <c r="K37" s="39"/>
      <c r="L37" s="65">
        <f>G37+I37</f>
        <v>17.52860338962024</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41" priority="1" stopIfTrue="1">
      <formula>$B$11=5</formula>
    </cfRule>
    <cfRule type="expression" dxfId="40" priority="2" stopIfTrue="1">
      <formula>$B$11&lt;5</formula>
    </cfRule>
  </conditionalFormatting>
  <conditionalFormatting sqref="C18 E18">
    <cfRule type="expression" dxfId="39" priority="3" stopIfTrue="1">
      <formula>$B$11=5</formula>
    </cfRule>
    <cfRule type="expression" dxfId="38" priority="4" stopIfTrue="1">
      <formula>$B$11&lt;5</formula>
    </cfRule>
  </conditionalFormatting>
  <conditionalFormatting sqref="B18">
    <cfRule type="expression" dxfId="37" priority="5" stopIfTrue="1">
      <formula>$B$11=5</formula>
    </cfRule>
    <cfRule type="expression" dxfId="36" priority="6" stopIfTrue="1">
      <formula>$B$11&lt;5</formula>
    </cfRule>
  </conditionalFormatting>
  <pageMargins left="0.25" right="0.25" top="0.5" bottom="0.5" header="0" footer="0"/>
  <pageSetup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dimension ref="A1:Z47"/>
  <sheetViews>
    <sheetView workbookViewId="0">
      <selection activeCell="E22" sqref="E22"/>
    </sheetView>
  </sheetViews>
  <sheetFormatPr defaultRowHeight="12.75"/>
  <cols>
    <col min="1" max="1" width="24.85546875" customWidth="1"/>
    <col min="2" max="2" width="11.5703125" customWidth="1"/>
    <col min="3" max="3" width="5.7109375" customWidth="1"/>
    <col min="4" max="4" width="9.28515625" customWidth="1"/>
    <col min="5" max="5" width="8.7109375" customWidth="1"/>
    <col min="6" max="6" width="15.7109375" customWidth="1"/>
    <col min="7" max="7" width="9.42578125" customWidth="1"/>
    <col min="8" max="8" width="10.140625" customWidth="1"/>
    <col min="9" max="9" width="12.28515625" customWidth="1"/>
    <col min="10" max="10" width="8.140625" customWidth="1"/>
    <col min="11" max="11" width="10.140625" customWidth="1"/>
    <col min="12"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32</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1</v>
      </c>
      <c r="C6" s="13"/>
      <c r="D6" s="24"/>
      <c r="E6" s="119" t="s">
        <v>57</v>
      </c>
      <c r="F6" s="119"/>
      <c r="G6" s="119"/>
      <c r="H6" s="119"/>
      <c r="I6" s="120"/>
      <c r="J6" s="120"/>
      <c r="K6" s="120"/>
      <c r="L6" s="25"/>
      <c r="M6" s="3"/>
      <c r="U6" s="6"/>
      <c r="V6" s="7" t="s">
        <v>44</v>
      </c>
      <c r="W6" s="8">
        <v>1</v>
      </c>
      <c r="X6" s="6"/>
      <c r="Y6" s="6"/>
      <c r="Z6" s="6"/>
    </row>
    <row r="7" spans="1:26" ht="15">
      <c r="A7" s="67" t="s">
        <v>1</v>
      </c>
      <c r="B7" s="68">
        <v>130</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60</v>
      </c>
      <c r="C9" s="3"/>
      <c r="D9" s="8"/>
      <c r="E9" s="8"/>
      <c r="F9" s="8"/>
      <c r="G9" s="8"/>
      <c r="H9" s="8"/>
      <c r="I9" s="8"/>
      <c r="J9" s="8"/>
      <c r="K9" s="8"/>
      <c r="L9" s="17"/>
      <c r="M9" s="3"/>
      <c r="U9" s="6"/>
      <c r="V9" s="7" t="s">
        <v>47</v>
      </c>
      <c r="W9" s="8">
        <v>4</v>
      </c>
      <c r="X9" s="6"/>
      <c r="Y9" s="6"/>
      <c r="Z9" s="6"/>
    </row>
    <row r="10" spans="1:26" ht="15">
      <c r="A10" s="67" t="s">
        <v>10</v>
      </c>
      <c r="B10" s="68">
        <v>8</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4</v>
      </c>
      <c r="C11" s="3"/>
      <c r="D11" s="14"/>
      <c r="F11" s="14"/>
      <c r="G11" s="26"/>
      <c r="H11" s="14"/>
      <c r="I11" s="14"/>
      <c r="J11" s="14"/>
      <c r="K11" s="18"/>
      <c r="L11" s="17"/>
      <c r="M11" s="3"/>
      <c r="N11" s="3"/>
      <c r="U11" s="6"/>
      <c r="V11" s="6"/>
      <c r="W11" s="8"/>
      <c r="X11" s="6"/>
      <c r="Y11" s="6"/>
      <c r="Z11" s="6"/>
    </row>
    <row r="12" spans="1:26" ht="15" customHeight="1">
      <c r="A12" s="89" t="str">
        <f>LOOKUP($B$11,$W$18:$W$22,$Z$18:$Z$22)</f>
        <v>$/Gallon</v>
      </c>
      <c r="B12" s="69">
        <v>1.9</v>
      </c>
      <c r="C12" s="3"/>
      <c r="D12" s="20" t="s">
        <v>18</v>
      </c>
      <c r="E12" s="19">
        <f>IF($B$6=1,3,IF($B$6=2,5,IF($B$6=3,5,IF($B$6=4,7,IF($B$6=5,2,0)))))</f>
        <v>3</v>
      </c>
      <c r="F12" s="19"/>
      <c r="G12" s="19"/>
      <c r="H12" s="19"/>
      <c r="I12" s="20" t="s">
        <v>76</v>
      </c>
      <c r="J12" s="20"/>
      <c r="K12" s="21">
        <f>IF($B$11=1,12.5,IF($B$11=2,61.7,IF($B$11=3, 6.67,IF($B$11=4,6.89,IF($B$11=5,0.885,0)))))</f>
        <v>6.89</v>
      </c>
      <c r="L12" s="17"/>
      <c r="M12" s="4"/>
      <c r="N12" s="3"/>
      <c r="O12" s="3"/>
      <c r="U12" s="6"/>
      <c r="V12" s="9"/>
      <c r="W12" s="9"/>
      <c r="X12" s="6"/>
      <c r="Y12" s="6"/>
      <c r="Z12" s="6"/>
    </row>
    <row r="13" spans="1:26">
      <c r="A13" s="70" t="s">
        <v>17</v>
      </c>
      <c r="B13" s="71">
        <v>16</v>
      </c>
      <c r="C13" s="3"/>
      <c r="D13" s="20" t="s">
        <v>27</v>
      </c>
      <c r="E13" s="19">
        <f>IF($B$6=1,20,IF($B$6=2,25,IF($B$6=3,23,IF($B$6=4,25,IF($B$6=5,10,0)))))</f>
        <v>20</v>
      </c>
      <c r="F13" s="19"/>
      <c r="G13" s="19"/>
      <c r="H13" s="19"/>
      <c r="I13" s="20" t="s">
        <v>8</v>
      </c>
      <c r="J13" s="20"/>
      <c r="K13" s="19">
        <f>IF($B$11=1,0.0833,IF($B$11=2,0.1667,IF($B$11=3,0.1667,IF($B$11=4,0.1667,IF($B$11=5,0.05,0)))))</f>
        <v>0.16669999999999999</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Center Pivot System</v>
      </c>
      <c r="F14" s="19"/>
      <c r="G14" s="19"/>
      <c r="H14" s="19"/>
      <c r="I14" s="20" t="s">
        <v>78</v>
      </c>
      <c r="J14" s="20"/>
      <c r="K14" s="19">
        <f>IF($B$11=1,12,IF($B$11=2,6,IF($B$11=3,6,IF($B$11=4,6,IF($B$11=5,30,0)))))</f>
        <v>6</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LP Gas Engine</v>
      </c>
      <c r="L15" s="17"/>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LP Gas</v>
      </c>
      <c r="K21" s="48" t="s">
        <v>79</v>
      </c>
      <c r="L21" s="111"/>
      <c r="M21" s="3"/>
      <c r="U21" s="6"/>
      <c r="V21" s="7" t="s">
        <v>50</v>
      </c>
      <c r="W21" s="8">
        <v>4</v>
      </c>
      <c r="X21" s="8">
        <v>6.89</v>
      </c>
      <c r="Y21" s="8" t="s">
        <v>36</v>
      </c>
      <c r="Z21" s="6" t="s">
        <v>54</v>
      </c>
    </row>
    <row r="22" spans="1:26">
      <c r="A22" s="58" t="s">
        <v>16</v>
      </c>
      <c r="B22" s="54">
        <v>16500</v>
      </c>
      <c r="C22" s="60">
        <v>25</v>
      </c>
      <c r="D22" s="61">
        <f>B22*0.05*(-1)</f>
        <v>-825</v>
      </c>
      <c r="E22" s="49">
        <f t="shared" ref="E22:E28" si="0">IF(B22&gt;0,((B22+D22)/2*$B$15/100),0)</f>
        <v>391.875</v>
      </c>
      <c r="F22" s="49">
        <f>B22*0.01</f>
        <v>165</v>
      </c>
      <c r="G22" s="49">
        <f t="shared" ref="G22:G27" si="1">(B22-D22)/C22</f>
        <v>693</v>
      </c>
      <c r="H22" s="50">
        <f>(($B$7*$B$10)/120000)*$B22</f>
        <v>143</v>
      </c>
      <c r="I22" s="50">
        <f>IF(B22=0,0,$B$7*$B$10*$B$13*0.001)</f>
        <v>16.64</v>
      </c>
      <c r="J22" s="88" t="str">
        <f>LOOKUP($B$11,W18:W22,Y18:Y22)</f>
        <v>Gallons</v>
      </c>
      <c r="K22" s="109" t="str">
        <f>IF($B$11=5,"kW+Hookup"," ")</f>
        <v xml:space="preserve"> </v>
      </c>
      <c r="L22" s="66">
        <f>SUM(E$22:K$22)</f>
        <v>1409.5150000000001</v>
      </c>
      <c r="M22" s="3"/>
      <c r="U22" s="6"/>
      <c r="V22" s="7" t="s">
        <v>37</v>
      </c>
      <c r="W22" s="8">
        <v>5</v>
      </c>
      <c r="X22" s="8">
        <v>0.88500000000000001</v>
      </c>
      <c r="Y22" s="8" t="s">
        <v>51</v>
      </c>
      <c r="Z22" s="6" t="s">
        <v>55</v>
      </c>
    </row>
    <row r="23" spans="1:26">
      <c r="A23" s="58" t="s">
        <v>15</v>
      </c>
      <c r="B23" s="54">
        <v>11163</v>
      </c>
      <c r="C23" s="60">
        <v>18</v>
      </c>
      <c r="D23" s="61">
        <f>B23*0.05</f>
        <v>558.15</v>
      </c>
      <c r="E23" s="49">
        <f t="shared" si="0"/>
        <v>293.02875</v>
      </c>
      <c r="F23" s="49">
        <f>B23*0.01</f>
        <v>111.63</v>
      </c>
      <c r="G23" s="49">
        <f t="shared" si="1"/>
        <v>589.1583333333333</v>
      </c>
      <c r="H23" s="50">
        <f>(($B$7*$B$10)/75000)*$B23+$B$7*$B$10/65*$B$16</f>
        <v>226.7936</v>
      </c>
      <c r="I23" s="50">
        <f>IF(B23=0,0,$B$7*$B$10*$B$13*0.004)</f>
        <v>66.56</v>
      </c>
      <c r="J23" s="50"/>
      <c r="K23" s="107" t="str">
        <f>IF($B$11=5,"$/kW-h"," ")</f>
        <v xml:space="preserve"> </v>
      </c>
      <c r="L23" s="66">
        <f>SUM(E23:K23)</f>
        <v>1287.1706833333333</v>
      </c>
      <c r="M23" s="3"/>
      <c r="U23" s="6"/>
      <c r="V23" s="12"/>
      <c r="W23" s="9"/>
      <c r="X23" s="8"/>
      <c r="Y23" s="11"/>
      <c r="Z23" s="6"/>
    </row>
    <row r="24" spans="1:26">
      <c r="A24" s="58" t="s">
        <v>9</v>
      </c>
      <c r="B24" s="55">
        <v>2800</v>
      </c>
      <c r="C24" s="60">
        <v>15</v>
      </c>
      <c r="D24" s="61">
        <f>B24*0.05</f>
        <v>140</v>
      </c>
      <c r="E24" s="49">
        <f t="shared" si="0"/>
        <v>73.5</v>
      </c>
      <c r="F24" s="49">
        <f>B24*0.01</f>
        <v>28</v>
      </c>
      <c r="G24" s="49">
        <f t="shared" si="1"/>
        <v>177.33333333333334</v>
      </c>
      <c r="H24" s="50">
        <f>(($B$7*$B$10)/120000)*$B24</f>
        <v>24.266666666666666</v>
      </c>
      <c r="I24" s="50">
        <f>IF(B24=0,0,$B$7*$B$10*$B$13*0.001)</f>
        <v>16.64</v>
      </c>
      <c r="J24" s="50"/>
      <c r="K24" s="51" t="str">
        <f>IF($B$11=5,K26/J26," ")</f>
        <v xml:space="preserve"> </v>
      </c>
      <c r="L24" s="66">
        <f>SUM(E24:K24)</f>
        <v>319.74</v>
      </c>
      <c r="M24" s="3"/>
    </row>
    <row r="25" spans="1:26">
      <c r="A25" s="58" t="s">
        <v>23</v>
      </c>
      <c r="B25" s="54">
        <v>1100</v>
      </c>
      <c r="C25" s="60">
        <v>25</v>
      </c>
      <c r="D25" s="61">
        <f>B25*0.05</f>
        <v>55</v>
      </c>
      <c r="E25" s="49">
        <f t="shared" si="0"/>
        <v>28.875</v>
      </c>
      <c r="F25" s="49">
        <f>B25*0.01</f>
        <v>11</v>
      </c>
      <c r="G25" s="49">
        <f t="shared" si="1"/>
        <v>41.8</v>
      </c>
      <c r="H25" s="50">
        <f>(($B$7*$B$10)/100000)*$B25</f>
        <v>11.44</v>
      </c>
      <c r="I25" s="50">
        <f>IF(B25=0,0,$B$7*$B$10*$B$13*0.001)</f>
        <v>16.64</v>
      </c>
      <c r="J25" s="50"/>
      <c r="K25" s="51"/>
      <c r="L25" s="66">
        <f>SUM(E25:K25)</f>
        <v>109.755</v>
      </c>
      <c r="M25" s="3"/>
    </row>
    <row r="26" spans="1:26">
      <c r="A26" s="58" t="str">
        <f>K15</f>
        <v>LP Gas Engine</v>
      </c>
      <c r="B26" s="54">
        <v>5350</v>
      </c>
      <c r="C26" s="62">
        <f>$K$14</f>
        <v>6</v>
      </c>
      <c r="D26" s="61">
        <f>B26*0.05</f>
        <v>267.5</v>
      </c>
      <c r="E26" s="49">
        <f t="shared" si="0"/>
        <v>140.4375</v>
      </c>
      <c r="F26" s="49">
        <f>B26*0.02</f>
        <v>107</v>
      </c>
      <c r="G26" s="49">
        <f t="shared" si="1"/>
        <v>847.08333333333337</v>
      </c>
      <c r="H26" s="50">
        <f>(($B$7*$B$10)/50000)*$B26+(K26*0.05)</f>
        <v>565.25941680960557</v>
      </c>
      <c r="I26" s="50">
        <f>IF(B26=0,0,IF($B$11=4,$B$7*$B$10*$B$13*0.0025,$B$7*$B$10*$B$13*0.015))</f>
        <v>41.6</v>
      </c>
      <c r="J26" s="87">
        <f>(((($B$9*2.31+$B$8)*450*$B$10)*$B$7/(3960))/$K$12)</f>
        <v>4778.7307032590061</v>
      </c>
      <c r="K26" s="50">
        <f>IF($B$11=5,+$B$18+((($B$9*2.31+$B$8)*450*$B$10*$B$12)/(3960*$K$12))*B7,((($B$9*2.31+$B$8)*450*$B$10*$B$12)/(3960*$K$12))*$B$7)</f>
        <v>9079.5883361921115</v>
      </c>
      <c r="L26" s="66">
        <f>SUM(E26:I26)+K26</f>
        <v>10780.96858633505</v>
      </c>
      <c r="M26" s="3"/>
    </row>
    <row r="27" spans="1:26">
      <c r="A27" s="58" t="str">
        <f>E14</f>
        <v>Center Pivot System</v>
      </c>
      <c r="B27" s="54">
        <v>52000</v>
      </c>
      <c r="C27" s="62">
        <f>$E$13</f>
        <v>20</v>
      </c>
      <c r="D27" s="61">
        <f>B27*0.05</f>
        <v>2600</v>
      </c>
      <c r="E27" s="49">
        <f t="shared" si="0"/>
        <v>1365</v>
      </c>
      <c r="F27" s="49">
        <f>IF($B$6=1,$B27*0.02,IF($B$6=2,$B27*0.01,IF($B$6=3,$B27*0.01,$B27*0.005)))</f>
        <v>1040</v>
      </c>
      <c r="G27" s="49">
        <f t="shared" si="1"/>
        <v>2470</v>
      </c>
      <c r="H27" s="50">
        <f>IF($B$6=1,$B$7*$B$10/40000*$B27,IF($B$6=2,$B$7*$B$10/50000*$B27,IF($B$6=3,$B$7*$B$10/40000*$B27,IF($B$6=4,$B$7*$B$10/50000*$B27+$B$7*2,$B$7*$B$10/125000*$B27))))</f>
        <v>1352</v>
      </c>
      <c r="I27" s="50">
        <f>IF(B27=0,0,$B$7*$B$10*$B$13/100*$E$12)</f>
        <v>499.20000000000005</v>
      </c>
      <c r="J27" s="50"/>
      <c r="K27" s="50">
        <f>IF($B$6=1,($B$7*$B$10)*0.66/$K$12*$B$12,0)</f>
        <v>189.28301886792451</v>
      </c>
      <c r="L27" s="66">
        <f>SUM(E27:K27)</f>
        <v>6915.4830188679243</v>
      </c>
      <c r="M27" s="3"/>
    </row>
    <row r="28" spans="1:26">
      <c r="A28" s="73" t="str">
        <f>IF($B$6=2,"Reuse? (Assume 20%)",IF($B$6=3,"Reuse? (Assume 10%)"," "))</f>
        <v xml:space="preserve"> </v>
      </c>
      <c r="B28" s="54">
        <v>0</v>
      </c>
      <c r="C28" s="56" t="str">
        <f>IF($B$6=2,25,"  ")</f>
        <v xml:space="preserve">  </v>
      </c>
      <c r="D28" s="61">
        <f>IF(B6=2,B28*0.05,0)</f>
        <v>0</v>
      </c>
      <c r="E28" s="49">
        <f t="shared" si="0"/>
        <v>0</v>
      </c>
      <c r="F28" s="49">
        <f>IF(B6=2,B28*0.02,0)</f>
        <v>0</v>
      </c>
      <c r="G28" s="49">
        <f>IF(B6=2,(B28-D28)/C28,0)</f>
        <v>0</v>
      </c>
      <c r="H28" s="50">
        <f>IF(B6=2,(($B$7*$B$10)/40000)*$B28,0)</f>
        <v>0</v>
      </c>
      <c r="I28" s="50">
        <f>IF(B6=2,IF(B28=0,0,$B$7*$B$10*$B$13*0.02),0)</f>
        <v>0</v>
      </c>
      <c r="J28" s="50"/>
      <c r="K28" s="50">
        <f>IF(B6=2,IF(B28=0,0,IF($B$6=2,((($B$9*2.31+20)*450*$B$10/5*$B$12)/(3960*$K$12))*$B$7,((($B$9*2.31+20)*450*$B$10/10*$B$12)/(3960*$K$12))*$B$7)),0)</f>
        <v>0</v>
      </c>
      <c r="L28" s="66">
        <f>SUM(E28:K28)</f>
        <v>0</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2600</v>
      </c>
      <c r="G30" s="52"/>
      <c r="H30" s="53"/>
      <c r="I30" s="53"/>
      <c r="J30" s="53"/>
      <c r="K30" s="50"/>
      <c r="L30" s="66">
        <f>F30</f>
        <v>2600</v>
      </c>
      <c r="M30" s="3"/>
    </row>
    <row r="31" spans="1:26">
      <c r="A31" s="58" t="s">
        <v>29</v>
      </c>
      <c r="B31" s="61">
        <f>SUM(B22:B29)</f>
        <v>88913</v>
      </c>
      <c r="C31" s="61"/>
      <c r="D31" s="61">
        <f t="shared" ref="D31:I31" si="2">SUM(D22:D29)</f>
        <v>2795.65</v>
      </c>
      <c r="E31" s="49">
        <f t="shared" si="2"/>
        <v>2292.7162499999999</v>
      </c>
      <c r="F31" s="49">
        <f t="shared" si="2"/>
        <v>1462.63</v>
      </c>
      <c r="G31" s="49">
        <f t="shared" si="2"/>
        <v>4818.375</v>
      </c>
      <c r="H31" s="50">
        <f t="shared" si="2"/>
        <v>2322.7596834762721</v>
      </c>
      <c r="I31" s="50">
        <f t="shared" si="2"/>
        <v>657.28000000000009</v>
      </c>
      <c r="J31" s="50"/>
      <c r="K31" s="50">
        <f>SUM(K22:K29)</f>
        <v>9268.8713550600369</v>
      </c>
      <c r="L31" s="66">
        <f>SUM(L22:L30)</f>
        <v>23422.632288536304</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11173.721250000001</v>
      </c>
      <c r="H35" s="29"/>
      <c r="I35" s="44">
        <f>SUM(H22:H28)+SUM(I22:I28)+SUM(K22:K28)+L29</f>
        <v>12248.911038536309</v>
      </c>
      <c r="J35" s="44"/>
      <c r="K35" s="40"/>
      <c r="L35" s="63">
        <f>G35+I35</f>
        <v>23422.632288536312</v>
      </c>
      <c r="M35" s="3"/>
    </row>
    <row r="36" spans="1:13">
      <c r="A36" s="85" t="s">
        <v>66</v>
      </c>
      <c r="B36" s="3"/>
      <c r="C36" s="3"/>
      <c r="D36" s="3"/>
      <c r="E36" s="101"/>
      <c r="F36" s="77" t="s">
        <v>3</v>
      </c>
      <c r="G36" s="41">
        <f>G35/$B$7</f>
        <v>85.951701923076925</v>
      </c>
      <c r="H36" s="29"/>
      <c r="I36" s="42">
        <f>I35/$B$7</f>
        <v>94.22239260412546</v>
      </c>
      <c r="J36" s="42"/>
      <c r="K36" s="40"/>
      <c r="L36" s="64">
        <f>G36+I36</f>
        <v>180.17409452720239</v>
      </c>
      <c r="M36" s="3"/>
    </row>
    <row r="37" spans="1:13" ht="13.5" thickBot="1">
      <c r="A37" s="100" t="s">
        <v>73</v>
      </c>
      <c r="B37" s="3"/>
      <c r="C37" s="3"/>
      <c r="D37" s="3"/>
      <c r="E37" s="101"/>
      <c r="F37" s="78" t="s">
        <v>0</v>
      </c>
      <c r="G37" s="36">
        <f>G35/($B$10*$B$7)</f>
        <v>10.743962740384616</v>
      </c>
      <c r="H37" s="37"/>
      <c r="I37" s="38">
        <f>I35/($B$10*$B$7)</f>
        <v>11.777799075515683</v>
      </c>
      <c r="J37" s="38"/>
      <c r="K37" s="39"/>
      <c r="L37" s="65">
        <f>G37+I37</f>
        <v>22.521761815900298</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35" priority="1" stopIfTrue="1">
      <formula>$B$11=5</formula>
    </cfRule>
    <cfRule type="expression" dxfId="34" priority="2" stopIfTrue="1">
      <formula>$B$11&lt;5</formula>
    </cfRule>
  </conditionalFormatting>
  <conditionalFormatting sqref="C18 E18">
    <cfRule type="expression" dxfId="33" priority="3" stopIfTrue="1">
      <formula>$B$11=5</formula>
    </cfRule>
    <cfRule type="expression" dxfId="32" priority="4" stopIfTrue="1">
      <formula>$B$11&lt;5</formula>
    </cfRule>
  </conditionalFormatting>
  <conditionalFormatting sqref="B18">
    <cfRule type="expression" dxfId="31" priority="5" stopIfTrue="1">
      <formula>$B$11=5</formula>
    </cfRule>
    <cfRule type="expression" dxfId="30" priority="6" stopIfTrue="1">
      <formula>$B$11&lt;5</formula>
    </cfRule>
  </conditionalFormatting>
  <pageMargins left="0.25" right="0.25" top="0.5" bottom="0.5" header="0" footer="0"/>
  <pageSetup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dimension ref="A1:Z47"/>
  <sheetViews>
    <sheetView topLeftCell="A5" workbookViewId="0">
      <selection activeCell="E22" sqref="E22"/>
    </sheetView>
  </sheetViews>
  <sheetFormatPr defaultRowHeight="12.75"/>
  <cols>
    <col min="1" max="1" width="23.5703125" customWidth="1"/>
    <col min="2" max="2" width="10.7109375" customWidth="1"/>
    <col min="3" max="3" width="5.7109375" customWidth="1"/>
    <col min="4" max="4" width="11.28515625" customWidth="1"/>
    <col min="5" max="5" width="9.28515625" customWidth="1"/>
    <col min="6" max="6" width="15.28515625" customWidth="1"/>
    <col min="7" max="7" width="10" customWidth="1"/>
    <col min="8" max="8" width="10.140625" customWidth="1"/>
    <col min="9" max="9" width="12.28515625" customWidth="1"/>
    <col min="10" max="10" width="9.42578125" customWidth="1"/>
    <col min="11"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58</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1</v>
      </c>
      <c r="C6" s="13"/>
      <c r="D6" s="24"/>
      <c r="E6" s="119" t="s">
        <v>57</v>
      </c>
      <c r="F6" s="119"/>
      <c r="G6" s="119"/>
      <c r="H6" s="119"/>
      <c r="I6" s="120"/>
      <c r="J6" s="120"/>
      <c r="K6" s="120"/>
      <c r="L6" s="25"/>
      <c r="M6" s="3"/>
      <c r="U6" s="6"/>
      <c r="V6" s="7" t="s">
        <v>44</v>
      </c>
      <c r="W6" s="8">
        <v>1</v>
      </c>
      <c r="X6" s="6"/>
      <c r="Y6" s="6"/>
      <c r="Z6" s="6"/>
    </row>
    <row r="7" spans="1:26" ht="15">
      <c r="A7" s="67" t="s">
        <v>1</v>
      </c>
      <c r="B7" s="68">
        <v>130</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60</v>
      </c>
      <c r="C9" s="3"/>
      <c r="D9" s="8"/>
      <c r="E9" s="8"/>
      <c r="F9" s="8"/>
      <c r="G9" s="8"/>
      <c r="H9" s="8"/>
      <c r="I9" s="8"/>
      <c r="J9" s="8"/>
      <c r="K9" s="8"/>
      <c r="L9" s="17"/>
      <c r="M9" s="3"/>
      <c r="U9" s="6"/>
      <c r="V9" s="7" t="s">
        <v>47</v>
      </c>
      <c r="W9" s="8">
        <v>4</v>
      </c>
      <c r="X9" s="6"/>
      <c r="Y9" s="6"/>
      <c r="Z9" s="6"/>
    </row>
    <row r="10" spans="1:26" ht="15">
      <c r="A10" s="67" t="s">
        <v>10</v>
      </c>
      <c r="B10" s="68">
        <v>8</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5</v>
      </c>
      <c r="C11" s="3"/>
      <c r="D11" s="14"/>
      <c r="F11" s="14"/>
      <c r="G11" s="26"/>
      <c r="H11" s="14"/>
      <c r="I11" s="14"/>
      <c r="J11" s="14"/>
      <c r="K11" s="18"/>
      <c r="L11" s="17"/>
      <c r="M11" s="3"/>
      <c r="N11" s="3"/>
      <c r="U11" s="6"/>
      <c r="V11" s="6"/>
      <c r="W11" s="8"/>
      <c r="X11" s="6"/>
      <c r="Y11" s="6"/>
      <c r="Z11" s="6"/>
    </row>
    <row r="12" spans="1:26" ht="15" customHeight="1">
      <c r="A12" s="89" t="str">
        <f>LOOKUP($B$11,$W$18:$W$22,$Z$18:$Z$22)</f>
        <v>$/kW-h</v>
      </c>
      <c r="B12" s="69">
        <v>5.1999999999999998E-2</v>
      </c>
      <c r="C12" s="3"/>
      <c r="D12" s="20" t="s">
        <v>18</v>
      </c>
      <c r="E12" s="19">
        <f>IF($B$6=1,3,IF($B$6=2,5,IF($B$6=3,5,IF($B$6=4,7,IF($B$6=5,2,0)))))</f>
        <v>3</v>
      </c>
      <c r="F12" s="19"/>
      <c r="G12" s="19"/>
      <c r="H12" s="19"/>
      <c r="I12" s="20" t="s">
        <v>76</v>
      </c>
      <c r="J12" s="20"/>
      <c r="K12" s="21">
        <f>IF($B$11=1,12.5,IF($B$11=2,61.7,IF($B$11=3, 6.67,IF($B$11=4,6.89,IF($B$11=5,0.885,0)))))</f>
        <v>0.88500000000000001</v>
      </c>
      <c r="L12" s="17"/>
      <c r="M12" s="4"/>
      <c r="N12" s="3"/>
      <c r="O12" s="3"/>
      <c r="U12" s="6"/>
      <c r="V12" s="9"/>
      <c r="W12" s="9"/>
      <c r="X12" s="6"/>
      <c r="Y12" s="6"/>
      <c r="Z12" s="6"/>
    </row>
    <row r="13" spans="1:26">
      <c r="A13" s="70" t="s">
        <v>17</v>
      </c>
      <c r="B13" s="71">
        <v>20</v>
      </c>
      <c r="C13" s="3"/>
      <c r="D13" s="20" t="s">
        <v>27</v>
      </c>
      <c r="E13" s="19">
        <f>IF($B$6=1,20,IF($B$6=2,25,IF($B$6=3,23,IF($B$6=4,25,IF($B$6=5,10,0)))))</f>
        <v>20</v>
      </c>
      <c r="F13" s="19"/>
      <c r="G13" s="19"/>
      <c r="H13" s="19"/>
      <c r="I13" s="20" t="s">
        <v>8</v>
      </c>
      <c r="J13" s="20"/>
      <c r="K13" s="19">
        <f>IF($B$11=1,0.0833,IF($B$11=2,0.1667,IF($B$11=3,0.1667,IF($B$11=4,0.1667,IF($B$11=5,0.05,0)))))</f>
        <v>0.05</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Center Pivot System</v>
      </c>
      <c r="F14" s="19"/>
      <c r="G14" s="19"/>
      <c r="H14" s="19"/>
      <c r="I14" s="20" t="s">
        <v>78</v>
      </c>
      <c r="J14" s="20"/>
      <c r="K14" s="19">
        <f>IF($B$11=1,12,IF($B$11=2,6,IF($B$11=3,6,IF($B$11=4,6,IF($B$11=5,30,0)))))</f>
        <v>30</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Electric Motor&amp; Switches</v>
      </c>
      <c r="L15" s="17"/>
      <c r="M15" s="3"/>
      <c r="U15" s="6"/>
      <c r="V15" s="6"/>
      <c r="W15" s="6"/>
      <c r="X15" s="6"/>
      <c r="Y15" s="6"/>
      <c r="Z15" s="6"/>
    </row>
    <row r="16" spans="1:26">
      <c r="A16" s="67" t="s">
        <v>7</v>
      </c>
      <c r="B16" s="71">
        <v>4.5</v>
      </c>
      <c r="C16" s="3"/>
      <c r="D16" s="3"/>
      <c r="E16" s="3"/>
      <c r="F16" s="3"/>
      <c r="G16" s="3"/>
      <c r="H16" s="8"/>
      <c r="I16" s="8"/>
      <c r="J16" s="8"/>
      <c r="K16" s="19">
        <f>IF($B$11=5,0,1800)</f>
        <v>0</v>
      </c>
      <c r="L16" s="17"/>
      <c r="M16" s="3"/>
      <c r="U16" s="6"/>
      <c r="V16" s="6"/>
      <c r="W16" s="6"/>
      <c r="X16" s="6"/>
      <c r="Y16" s="6"/>
      <c r="Z16" s="6"/>
    </row>
    <row r="17" spans="1:26">
      <c r="A17" s="67" t="s">
        <v>11</v>
      </c>
      <c r="B17" s="72"/>
      <c r="C17" s="3"/>
      <c r="D17" s="15"/>
      <c r="E17" s="16">
        <v>0</v>
      </c>
      <c r="F17" s="3"/>
      <c r="G17" s="3"/>
      <c r="H17" s="8"/>
      <c r="I17" s="8"/>
      <c r="J17" s="8"/>
      <c r="K17" s="8"/>
      <c r="L17" s="17"/>
      <c r="M17" s="3"/>
      <c r="U17" s="6"/>
      <c r="V17" s="117" t="s">
        <v>42</v>
      </c>
      <c r="W17" s="117"/>
      <c r="X17" s="117"/>
      <c r="Y17" s="117"/>
      <c r="Z17" s="6"/>
    </row>
    <row r="18" spans="1:26" ht="13.5" thickBot="1">
      <c r="A18" s="74" t="str">
        <f>IF($B$11=5," Annual Elec Hookup Cost"," ")</f>
        <v xml:space="preserve"> Annual Elec Hookup Cost</v>
      </c>
      <c r="B18" s="80">
        <f>IF($B$11=5,D18*F18," ")</f>
        <v>1035</v>
      </c>
      <c r="C18" s="83" t="s">
        <v>70</v>
      </c>
      <c r="D18" s="82">
        <v>90</v>
      </c>
      <c r="E18" s="84" t="s">
        <v>71</v>
      </c>
      <c r="F18" s="81">
        <v>11.5</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Electricity</v>
      </c>
      <c r="K21" s="48" t="s">
        <v>79</v>
      </c>
      <c r="L21" s="111"/>
      <c r="M21" s="3"/>
      <c r="U21" s="6"/>
      <c r="V21" s="7" t="s">
        <v>50</v>
      </c>
      <c r="W21" s="8">
        <v>4</v>
      </c>
      <c r="X21" s="8">
        <v>6.89</v>
      </c>
      <c r="Y21" s="8" t="s">
        <v>36</v>
      </c>
      <c r="Z21" s="6" t="s">
        <v>54</v>
      </c>
    </row>
    <row r="22" spans="1:26">
      <c r="A22" s="58" t="s">
        <v>16</v>
      </c>
      <c r="B22" s="54">
        <v>16500</v>
      </c>
      <c r="C22" s="60">
        <v>25</v>
      </c>
      <c r="D22" s="61">
        <f>B22*0.05*(-1)</f>
        <v>-825</v>
      </c>
      <c r="E22" s="49">
        <f t="shared" ref="E22:E28" si="0">IF(B22&gt;0,((B22+D22)/2*$B$15/100),0)</f>
        <v>391.875</v>
      </c>
      <c r="F22" s="49">
        <f>B22*0.01</f>
        <v>165</v>
      </c>
      <c r="G22" s="49">
        <f t="shared" ref="G22:G27" si="1">(B22-D22)/C22</f>
        <v>693</v>
      </c>
      <c r="H22" s="50">
        <f>(($B$7*$B$10)/120000)*$B22</f>
        <v>143</v>
      </c>
      <c r="I22" s="50">
        <f>IF(B22=0,0,$B$7*$B$10*$B$13*0.001)</f>
        <v>20.8</v>
      </c>
      <c r="J22" s="88" t="str">
        <f>LOOKUP($B$11,W18:W22,Y18:Y22)</f>
        <v>Kw-hour</v>
      </c>
      <c r="K22" s="109" t="str">
        <f>IF($B$11=5,"kW+Hookup"," ")</f>
        <v>kW+Hookup</v>
      </c>
      <c r="L22" s="66">
        <f>SUM(E$22:K$22)</f>
        <v>1413.675</v>
      </c>
      <c r="M22" s="3"/>
      <c r="U22" s="6"/>
      <c r="V22" s="7" t="s">
        <v>37</v>
      </c>
      <c r="W22" s="8">
        <v>5</v>
      </c>
      <c r="X22" s="8">
        <v>0.88500000000000001</v>
      </c>
      <c r="Y22" s="8" t="s">
        <v>51</v>
      </c>
      <c r="Z22" s="6" t="s">
        <v>55</v>
      </c>
    </row>
    <row r="23" spans="1:26">
      <c r="A23" s="58" t="s">
        <v>15</v>
      </c>
      <c r="B23" s="54">
        <v>11163</v>
      </c>
      <c r="C23" s="60">
        <v>18</v>
      </c>
      <c r="D23" s="61">
        <f>B23*0.05</f>
        <v>558.15</v>
      </c>
      <c r="E23" s="49">
        <f t="shared" si="0"/>
        <v>293.02875</v>
      </c>
      <c r="F23" s="49">
        <f>B23*0.01</f>
        <v>111.63</v>
      </c>
      <c r="G23" s="49">
        <f t="shared" si="1"/>
        <v>589.1583333333333</v>
      </c>
      <c r="H23" s="50">
        <f>(($B$7*$B$10)/75000)*$B23+$B$7*$B$10/65*$B$16</f>
        <v>226.7936</v>
      </c>
      <c r="I23" s="50">
        <f>IF(B23=0,0,$B$7*$B$10*$B$13*0.004)</f>
        <v>83.2</v>
      </c>
      <c r="J23" s="50"/>
      <c r="K23" s="107" t="str">
        <f>IF($B$11=5,"$/kW-h"," ")</f>
        <v>$/kW-h</v>
      </c>
      <c r="L23" s="66">
        <f>SUM(E23:K23)</f>
        <v>1303.8106833333334</v>
      </c>
      <c r="M23" s="3"/>
      <c r="U23" s="6"/>
      <c r="V23" s="12"/>
      <c r="W23" s="9"/>
      <c r="X23" s="8"/>
      <c r="Y23" s="11"/>
      <c r="Z23" s="6"/>
    </row>
    <row r="24" spans="1:26">
      <c r="A24" s="58" t="s">
        <v>9</v>
      </c>
      <c r="B24" s="55">
        <v>0</v>
      </c>
      <c r="C24" s="60">
        <v>15</v>
      </c>
      <c r="D24" s="61">
        <f>B24*0.05</f>
        <v>0</v>
      </c>
      <c r="E24" s="49">
        <f t="shared" si="0"/>
        <v>0</v>
      </c>
      <c r="F24" s="49">
        <f>B24*0.01</f>
        <v>0</v>
      </c>
      <c r="G24" s="49">
        <f t="shared" si="1"/>
        <v>0</v>
      </c>
      <c r="H24" s="50">
        <f>(($B$7*$B$10)/120000)*$B24</f>
        <v>0</v>
      </c>
      <c r="I24" s="50">
        <f>IF(B24=0,0,$B$7*$B$10*$B$13*0.001)</f>
        <v>0</v>
      </c>
      <c r="J24" s="50"/>
      <c r="K24" s="51">
        <f>IF($B$11=5,K26/J26," ")</f>
        <v>7.9819661494284599E-2</v>
      </c>
      <c r="L24" s="66">
        <f>SUM(E24:K24)</f>
        <v>7.9819661494284599E-2</v>
      </c>
      <c r="M24" s="3"/>
    </row>
    <row r="25" spans="1:26">
      <c r="A25" s="58" t="s">
        <v>23</v>
      </c>
      <c r="B25" s="54">
        <v>0</v>
      </c>
      <c r="C25" s="60">
        <v>25</v>
      </c>
      <c r="D25" s="61">
        <f>B25*0.05</f>
        <v>0</v>
      </c>
      <c r="E25" s="49">
        <f t="shared" si="0"/>
        <v>0</v>
      </c>
      <c r="F25" s="49">
        <f>B25*0.01</f>
        <v>0</v>
      </c>
      <c r="G25" s="49">
        <f t="shared" si="1"/>
        <v>0</v>
      </c>
      <c r="H25" s="50">
        <f>(($B$7*$B$10)/100000)*$B25</f>
        <v>0</v>
      </c>
      <c r="I25" s="50">
        <f>IF(B25=0,0,$B$7*$B$10*$B$13*0.001)</f>
        <v>0</v>
      </c>
      <c r="J25" s="50"/>
      <c r="K25" s="51"/>
      <c r="L25" s="66">
        <f>SUM(E25:K25)</f>
        <v>0</v>
      </c>
      <c r="M25" s="3"/>
    </row>
    <row r="26" spans="1:26">
      <c r="A26" s="58" t="str">
        <f>K15</f>
        <v>Electric Motor&amp; Switches</v>
      </c>
      <c r="B26" s="54">
        <v>5350</v>
      </c>
      <c r="C26" s="62">
        <f>$K$14</f>
        <v>30</v>
      </c>
      <c r="D26" s="61">
        <f>B26*0.05</f>
        <v>267.5</v>
      </c>
      <c r="E26" s="49">
        <f t="shared" si="0"/>
        <v>140.4375</v>
      </c>
      <c r="F26" s="49">
        <f>B26*0.02</f>
        <v>107</v>
      </c>
      <c r="G26" s="49">
        <f t="shared" si="1"/>
        <v>169.41666666666666</v>
      </c>
      <c r="H26" s="50">
        <f>(($B$7*$B$10)/50000)*$B26+(K26*0.05)</f>
        <v>259.76014894709812</v>
      </c>
      <c r="I26" s="50">
        <f>IF(B26=0,0,IF($B$11=4,$B$7*$B$10*$B$13*0.0025,$B$7*$B$10*$B$13*0.015))</f>
        <v>312</v>
      </c>
      <c r="J26" s="87">
        <f>(((($B$9*2.31+$B$8)*450*$B$10)*$B$7/(3960))/$K$12)</f>
        <v>37203.903441191585</v>
      </c>
      <c r="K26" s="50">
        <f>IF($B$11=5,+$B$18+((($B$9*2.31+$B$8)*450*$B$10*$B$12)/(3960*$K$12))*B7,((($B$9*2.31+$B$8)*450*$B$10*$B$12)/(3960*$K$12))*$B$7)</f>
        <v>2969.6029789419622</v>
      </c>
      <c r="L26" s="66">
        <f>SUM(E26:I26)+K26</f>
        <v>3958.2172945557268</v>
      </c>
      <c r="M26" s="3"/>
    </row>
    <row r="27" spans="1:26">
      <c r="A27" s="58" t="str">
        <f>E14</f>
        <v>Center Pivot System</v>
      </c>
      <c r="B27" s="54">
        <v>52000</v>
      </c>
      <c r="C27" s="62">
        <f>$E$13</f>
        <v>20</v>
      </c>
      <c r="D27" s="61">
        <f>B27*0.05</f>
        <v>2600</v>
      </c>
      <c r="E27" s="49">
        <f t="shared" si="0"/>
        <v>1365</v>
      </c>
      <c r="F27" s="49">
        <f>IF($B$6=1,$B27*0.02,IF($B$6=2,$B27*0.01,IF($B$6=3,$B27*0.01,$B27*0.005)))</f>
        <v>1040</v>
      </c>
      <c r="G27" s="49">
        <f t="shared" si="1"/>
        <v>2470</v>
      </c>
      <c r="H27" s="50">
        <f>IF($B$6=1,$B$7*$B$10/40000*$B27,IF($B$6=2,$B$7*$B$10/50000*$B27,IF($B$6=3,$B$7*$B$10/40000*$B27,IF($B$6=4,$B$7*$B$10/50000*$B27+$B$7*2,$B$7*$B$10/125000*$B27))))</f>
        <v>1352</v>
      </c>
      <c r="I27" s="50">
        <f>IF(B27=0,0,$B$7*$B$10*$B$13/100*$E$12)</f>
        <v>624</v>
      </c>
      <c r="J27" s="50"/>
      <c r="K27" s="50">
        <f>IF($B$6=1,($B$7*$B$10)*0.66/$K$12*$B$12,0)</f>
        <v>40.330847457627115</v>
      </c>
      <c r="L27" s="66">
        <f>SUM(E27:K27)</f>
        <v>6891.330847457627</v>
      </c>
      <c r="M27" s="3"/>
    </row>
    <row r="28" spans="1:26">
      <c r="A28" s="73" t="str">
        <f>IF($B$6=2,"Reuse? (Assume 20%)",IF($B$6=3,"Reuse? (Assume 10%)"," "))</f>
        <v xml:space="preserve"> </v>
      </c>
      <c r="B28" s="54">
        <v>0</v>
      </c>
      <c r="C28" s="56" t="str">
        <f>IF($B$6=2,25,"  ")</f>
        <v xml:space="preserve">  </v>
      </c>
      <c r="D28" s="61">
        <f>IF(B6=2,B28*0.05,0)</f>
        <v>0</v>
      </c>
      <c r="E28" s="49">
        <f t="shared" si="0"/>
        <v>0</v>
      </c>
      <c r="F28" s="49">
        <f>IF(B6=2,B28*0.02,0)</f>
        <v>0</v>
      </c>
      <c r="G28" s="49">
        <f>IF(B6=2,(B28-D28)/C28,0)</f>
        <v>0</v>
      </c>
      <c r="H28" s="50">
        <f>IF(B6=2,(($B$7*$B$10)/40000)*$B28,0)</f>
        <v>0</v>
      </c>
      <c r="I28" s="50">
        <f>IF(B6=2,IF(B28=0,0,$B$7*$B$10*$B$13*0.02),0)</f>
        <v>0</v>
      </c>
      <c r="J28" s="50"/>
      <c r="K28" s="50">
        <f>IF(B6=2,IF(B28=0,0,IF($B$6=2,((($B$9*2.31+20)*450*$B$10/5*$B$12)/(3960*$K$12))*$B$7,((($B$9*2.31+20)*450*$B$10/10*$B$12)/(3960*$K$12))*$B$7)),0)</f>
        <v>0</v>
      </c>
      <c r="L28" s="66">
        <f>SUM(E28:K28)</f>
        <v>0</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0</v>
      </c>
      <c r="G30" s="52"/>
      <c r="H30" s="53"/>
      <c r="I30" s="53"/>
      <c r="J30" s="53"/>
      <c r="K30" s="50"/>
      <c r="L30" s="66">
        <f>F30</f>
        <v>0</v>
      </c>
      <c r="M30" s="3"/>
    </row>
    <row r="31" spans="1:26">
      <c r="A31" s="58" t="s">
        <v>29</v>
      </c>
      <c r="B31" s="61">
        <f>SUM(B22:B29)</f>
        <v>85013</v>
      </c>
      <c r="C31" s="61"/>
      <c r="D31" s="61">
        <f t="shared" ref="D31:I31" si="2">SUM(D22:D29)</f>
        <v>2600.65</v>
      </c>
      <c r="E31" s="49">
        <f t="shared" si="2"/>
        <v>2190.3412499999999</v>
      </c>
      <c r="F31" s="49">
        <f t="shared" si="2"/>
        <v>1423.63</v>
      </c>
      <c r="G31" s="49">
        <f t="shared" si="2"/>
        <v>3921.5749999999998</v>
      </c>
      <c r="H31" s="50">
        <f t="shared" si="2"/>
        <v>1981.553748947098</v>
      </c>
      <c r="I31" s="50">
        <f t="shared" si="2"/>
        <v>1040</v>
      </c>
      <c r="J31" s="50"/>
      <c r="K31" s="50">
        <f>SUM(K22:K29)</f>
        <v>3010.0136460610834</v>
      </c>
      <c r="L31" s="66">
        <f>SUM(L22:L30)</f>
        <v>13567.113645008181</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7535.5462499999994</v>
      </c>
      <c r="H35" s="29"/>
      <c r="I35" s="44">
        <f>SUM(H22:H28)+SUM(I22:I28)+SUM(K22:K28)+L29</f>
        <v>6031.5673950081818</v>
      </c>
      <c r="J35" s="44"/>
      <c r="K35" s="40"/>
      <c r="L35" s="63">
        <f>G35+I35</f>
        <v>13567.113645008181</v>
      </c>
      <c r="M35" s="3"/>
    </row>
    <row r="36" spans="1:13">
      <c r="A36" s="85" t="s">
        <v>66</v>
      </c>
      <c r="B36" s="3"/>
      <c r="C36" s="3"/>
      <c r="D36" s="3"/>
      <c r="E36" s="101"/>
      <c r="F36" s="77" t="s">
        <v>3</v>
      </c>
      <c r="G36" s="41">
        <f>G35/$B$7</f>
        <v>57.96574038461538</v>
      </c>
      <c r="H36" s="29"/>
      <c r="I36" s="42">
        <f>I35/$B$7</f>
        <v>46.39667226929371</v>
      </c>
      <c r="J36" s="42"/>
      <c r="K36" s="40"/>
      <c r="L36" s="64">
        <f>G36+I36</f>
        <v>104.36241265390909</v>
      </c>
      <c r="M36" s="3"/>
    </row>
    <row r="37" spans="1:13" ht="13.5" thickBot="1">
      <c r="A37" s="100" t="s">
        <v>73</v>
      </c>
      <c r="B37" s="3"/>
      <c r="C37" s="3"/>
      <c r="D37" s="3"/>
      <c r="E37" s="101"/>
      <c r="F37" s="78" t="s">
        <v>0</v>
      </c>
      <c r="G37" s="36">
        <f>G35/($B$10*$B$7)</f>
        <v>7.2457175480769225</v>
      </c>
      <c r="H37" s="37"/>
      <c r="I37" s="38">
        <f>I35/($B$10*$B$7)</f>
        <v>5.7995840336617137</v>
      </c>
      <c r="J37" s="38"/>
      <c r="K37" s="39"/>
      <c r="L37" s="65">
        <f>G37+I37</f>
        <v>13.045301581738636</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29" priority="1" stopIfTrue="1">
      <formula>$B$11=5</formula>
    </cfRule>
    <cfRule type="expression" dxfId="28" priority="2" stopIfTrue="1">
      <formula>$B$11&lt;5</formula>
    </cfRule>
  </conditionalFormatting>
  <conditionalFormatting sqref="C18 E18">
    <cfRule type="expression" dxfId="27" priority="3" stopIfTrue="1">
      <formula>$B$11=5</formula>
    </cfRule>
    <cfRule type="expression" dxfId="26" priority="4" stopIfTrue="1">
      <formula>$B$11&lt;5</formula>
    </cfRule>
  </conditionalFormatting>
  <conditionalFormatting sqref="B18">
    <cfRule type="expression" dxfId="25" priority="5" stopIfTrue="1">
      <formula>$B$11=5</formula>
    </cfRule>
    <cfRule type="expression" dxfId="24" priority="6" stopIfTrue="1">
      <formula>$B$11&lt;5</formula>
    </cfRule>
  </conditionalFormatting>
  <pageMargins left="0.25" right="0.25" top="0.5" bottom="0.5" header="0" footer="0"/>
  <pageSetup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dimension ref="A1:Z47"/>
  <sheetViews>
    <sheetView workbookViewId="0">
      <selection activeCell="A46" sqref="A46"/>
    </sheetView>
  </sheetViews>
  <sheetFormatPr defaultRowHeight="12.75"/>
  <cols>
    <col min="1" max="1" width="25.140625" customWidth="1"/>
    <col min="2" max="2" width="10.5703125" customWidth="1"/>
    <col min="3" max="3" width="5" customWidth="1"/>
    <col min="4" max="4" width="8.7109375" customWidth="1"/>
    <col min="5" max="5" width="8.5703125" customWidth="1"/>
    <col min="6" max="6" width="14.28515625" customWidth="1"/>
    <col min="7" max="7" width="12.42578125" customWidth="1"/>
    <col min="8" max="8" width="9.28515625" customWidth="1"/>
    <col min="9" max="9" width="12.28515625" customWidth="1"/>
    <col min="10" max="10" width="9.28515625" customWidth="1"/>
    <col min="11"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33</v>
      </c>
      <c r="B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2</v>
      </c>
      <c r="C6" s="13"/>
      <c r="D6" s="24"/>
      <c r="E6" s="119" t="s">
        <v>57</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10</v>
      </c>
      <c r="C9" s="3"/>
      <c r="D9" s="8"/>
      <c r="E9" s="8"/>
      <c r="F9" s="8"/>
      <c r="G9" s="8"/>
      <c r="H9" s="8"/>
      <c r="I9" s="8"/>
      <c r="J9" s="8"/>
      <c r="K9" s="8"/>
      <c r="L9" s="17"/>
      <c r="M9" s="3"/>
      <c r="U9" s="6"/>
      <c r="V9" s="7" t="s">
        <v>47</v>
      </c>
      <c r="W9" s="8">
        <v>4</v>
      </c>
      <c r="X9" s="6"/>
      <c r="Y9" s="6"/>
      <c r="Z9" s="6"/>
    </row>
    <row r="10" spans="1:26" ht="15">
      <c r="A10" s="67" t="s">
        <v>10</v>
      </c>
      <c r="B10" s="68">
        <v>15</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1</v>
      </c>
      <c r="C11" s="3"/>
      <c r="D11" s="14"/>
      <c r="F11" s="14"/>
      <c r="G11" s="26"/>
      <c r="H11" s="14"/>
      <c r="I11" s="14"/>
      <c r="J11" s="14"/>
      <c r="K11" s="18"/>
      <c r="L11" s="17"/>
      <c r="M11" s="3"/>
      <c r="N11" s="3"/>
      <c r="U11" s="6"/>
      <c r="V11" s="6"/>
      <c r="W11" s="8"/>
      <c r="X11" s="6"/>
      <c r="Y11" s="6"/>
      <c r="Z11" s="6"/>
    </row>
    <row r="12" spans="1:26" ht="15" customHeight="1">
      <c r="A12" s="89" t="str">
        <f>LOOKUP($B$11,$W$18:$W$22,$Z$18:$Z$22)</f>
        <v>$/Gallon</v>
      </c>
      <c r="B12" s="69">
        <v>2.5</v>
      </c>
      <c r="C12" s="3"/>
      <c r="D12" s="20" t="s">
        <v>18</v>
      </c>
      <c r="E12" s="19">
        <f>IF($B$6=1,3,IF($B$6=2,5,IF($B$6=3,5,IF($B$6=4,7,IF($B$6=5,2,0)))))</f>
        <v>5</v>
      </c>
      <c r="F12" s="19"/>
      <c r="G12" s="19"/>
      <c r="H12" s="19"/>
      <c r="I12" s="20" t="s">
        <v>76</v>
      </c>
      <c r="J12" s="20"/>
      <c r="K12" s="21">
        <f>IF($B$11=1,12.5,IF($B$11=2,61.7,IF($B$11=3, 6.67,IF($B$11=4,6.89,IF($B$11=5,0.885,0)))))</f>
        <v>12.5</v>
      </c>
      <c r="L12" s="108"/>
      <c r="M12" s="4"/>
      <c r="N12" s="3"/>
      <c r="O12" s="3"/>
      <c r="U12" s="6"/>
      <c r="V12" s="9"/>
      <c r="W12" s="9"/>
      <c r="X12" s="6"/>
      <c r="Y12" s="6"/>
      <c r="Z12" s="6"/>
    </row>
    <row r="13" spans="1:26">
      <c r="A13" s="70" t="s">
        <v>17</v>
      </c>
      <c r="B13" s="71">
        <v>16</v>
      </c>
      <c r="C13" s="3"/>
      <c r="D13" s="20" t="s">
        <v>27</v>
      </c>
      <c r="E13" s="19">
        <f>IF($B$6=1,20,IF($B$6=2,25,IF($B$6=3,23,IF($B$6=4,25,IF($B$6=5,10,0)))))</f>
        <v>25</v>
      </c>
      <c r="F13" s="19"/>
      <c r="G13" s="19"/>
      <c r="H13" s="19"/>
      <c r="I13" s="20" t="s">
        <v>8</v>
      </c>
      <c r="J13" s="20"/>
      <c r="K13" s="19">
        <f>IF($B$11=1,0.0833,IF($B$11=2,0.1667,IF($B$11=3,0.1667,IF($B$11=4,0.1667,IF($B$11=5,0.05,0)))))</f>
        <v>8.3299999999999999E-2</v>
      </c>
      <c r="L13" s="108"/>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Gated Pipe</v>
      </c>
      <c r="F14" s="19"/>
      <c r="G14" s="19"/>
      <c r="H14" s="19"/>
      <c r="I14" s="20" t="s">
        <v>78</v>
      </c>
      <c r="J14" s="20"/>
      <c r="K14" s="19">
        <f>IF($B$11=1,12,IF($B$11=2,6,IF($B$11=3,6,IF($B$11=4,6,IF($B$11=5,30,0)))))</f>
        <v>12</v>
      </c>
      <c r="L14" s="108"/>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Diesel Engine &amp; Tank</v>
      </c>
      <c r="L15" s="108"/>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Diesel</v>
      </c>
      <c r="K21" s="48" t="s">
        <v>79</v>
      </c>
      <c r="L21" s="111"/>
      <c r="M21" s="3"/>
      <c r="U21" s="6"/>
      <c r="V21" s="7" t="s">
        <v>50</v>
      </c>
      <c r="W21" s="8">
        <v>4</v>
      </c>
      <c r="X21" s="8">
        <v>6.89</v>
      </c>
      <c r="Y21" s="8" t="s">
        <v>36</v>
      </c>
      <c r="Z21" s="6" t="s">
        <v>54</v>
      </c>
    </row>
    <row r="22" spans="1:26">
      <c r="A22" s="58" t="s">
        <v>16</v>
      </c>
      <c r="B22" s="54">
        <v>16500</v>
      </c>
      <c r="C22" s="60">
        <v>25</v>
      </c>
      <c r="D22" s="61">
        <f>B22*0.05*(-1)</f>
        <v>-825</v>
      </c>
      <c r="E22" s="49">
        <f>IF(B22&gt;0,((B22+D22)/2*$B$15/100),0)</f>
        <v>391.875</v>
      </c>
      <c r="F22" s="49">
        <f>B22*0.01</f>
        <v>165</v>
      </c>
      <c r="G22" s="49">
        <f t="shared" ref="G22:G27" si="0">(B22-D22)/C22</f>
        <v>693</v>
      </c>
      <c r="H22" s="50">
        <f>(($B$7*$B$10)/120000)*$B22</f>
        <v>257.8125</v>
      </c>
      <c r="I22" s="50">
        <f>IF(B22=0,0,$B$7*$B$10*$B$13*0.001)</f>
        <v>30</v>
      </c>
      <c r="J22" s="88" t="str">
        <f>LOOKUP($B$11,W18:W22,Y18:Y22)</f>
        <v>Gallons</v>
      </c>
      <c r="K22" s="109" t="str">
        <f>IF($B$11=5,"kW+Hookup"," ")</f>
        <v xml:space="preserve"> </v>
      </c>
      <c r="L22" s="66">
        <f>SUM(E$22:K$22)</f>
        <v>1537.6875</v>
      </c>
      <c r="M22" s="3"/>
      <c r="U22" s="6"/>
      <c r="V22" s="7" t="s">
        <v>37</v>
      </c>
      <c r="W22" s="8">
        <v>5</v>
      </c>
      <c r="X22" s="8">
        <v>0.88500000000000001</v>
      </c>
      <c r="Y22" s="8" t="s">
        <v>51</v>
      </c>
      <c r="Z22" s="6" t="s">
        <v>55</v>
      </c>
    </row>
    <row r="23" spans="1:26">
      <c r="A23" s="58" t="s">
        <v>15</v>
      </c>
      <c r="B23" s="54">
        <v>11163</v>
      </c>
      <c r="C23" s="60">
        <v>18</v>
      </c>
      <c r="D23" s="61">
        <f>B23*0.05</f>
        <v>558.15</v>
      </c>
      <c r="E23" s="49">
        <f t="shared" ref="E23:E28" si="1">IF(B23&gt;0,((B23+D23)/2*$B$15/100),0)</f>
        <v>293.02875</v>
      </c>
      <c r="F23" s="49">
        <f>B23*0.01</f>
        <v>111.63</v>
      </c>
      <c r="G23" s="49">
        <f t="shared" si="0"/>
        <v>589.1583333333333</v>
      </c>
      <c r="H23" s="50">
        <f>(($B$7*$B$10)/75000)*$B23+$B$7*$B$10/65*$B$16</f>
        <v>408.88269230769231</v>
      </c>
      <c r="I23" s="50">
        <f>IF(B23=0,0,$B$7*$B$10*$B$13*0.004)</f>
        <v>120</v>
      </c>
      <c r="J23" s="50"/>
      <c r="K23" s="107" t="str">
        <f>IF($B$11=5,"$/kW-h"," ")</f>
        <v xml:space="preserve"> </v>
      </c>
      <c r="L23" s="66">
        <f>SUM(E23:K23)</f>
        <v>1522.6997756410256</v>
      </c>
      <c r="M23" s="3"/>
      <c r="U23" s="6"/>
      <c r="V23" s="12"/>
      <c r="W23" s="9"/>
      <c r="X23" s="8"/>
      <c r="Y23" s="11"/>
      <c r="Z23" s="6"/>
    </row>
    <row r="24" spans="1:26">
      <c r="A24" s="58" t="s">
        <v>9</v>
      </c>
      <c r="B24" s="55">
        <v>2800</v>
      </c>
      <c r="C24" s="60">
        <v>15</v>
      </c>
      <c r="D24" s="61">
        <f>B24*0.05</f>
        <v>140</v>
      </c>
      <c r="E24" s="49">
        <f t="shared" si="1"/>
        <v>73.5</v>
      </c>
      <c r="F24" s="49">
        <f>B24*0.01</f>
        <v>28</v>
      </c>
      <c r="G24" s="49">
        <f t="shared" si="0"/>
        <v>177.33333333333334</v>
      </c>
      <c r="H24" s="50">
        <f>(($B$7*$B$10)/120000)*$B24</f>
        <v>43.75</v>
      </c>
      <c r="I24" s="50">
        <f>IF(B24=0,0,$B$7*$B$10*$B$13*0.001)</f>
        <v>30</v>
      </c>
      <c r="J24" s="50"/>
      <c r="K24" s="51" t="str">
        <f>IF($B$11=5,K26/J26," ")</f>
        <v xml:space="preserve"> </v>
      </c>
      <c r="L24" s="66">
        <f>SUM(E24:K24)</f>
        <v>352.58333333333337</v>
      </c>
      <c r="M24" s="3"/>
    </row>
    <row r="25" spans="1:26">
      <c r="A25" s="58" t="s">
        <v>23</v>
      </c>
      <c r="B25" s="54">
        <v>1100</v>
      </c>
      <c r="C25" s="60">
        <v>25</v>
      </c>
      <c r="D25" s="61">
        <f>B25*0.05</f>
        <v>55</v>
      </c>
      <c r="E25" s="49">
        <f t="shared" si="1"/>
        <v>28.875</v>
      </c>
      <c r="F25" s="49">
        <f>B25*0.01</f>
        <v>11</v>
      </c>
      <c r="G25" s="49">
        <f t="shared" si="0"/>
        <v>41.8</v>
      </c>
      <c r="H25" s="50">
        <f>(($B$7*$B$10)/100000)*$B25</f>
        <v>20.625</v>
      </c>
      <c r="I25" s="50">
        <f>IF(B25=0,0,$B$7*$B$10*$B$13*0.001)</f>
        <v>30</v>
      </c>
      <c r="J25" s="50"/>
      <c r="K25" s="51"/>
      <c r="L25" s="66">
        <f>SUM(E25:K25)</f>
        <v>132.30000000000001</v>
      </c>
      <c r="M25" s="3"/>
    </row>
    <row r="26" spans="1:26">
      <c r="A26" s="58" t="str">
        <f>K15</f>
        <v>Diesel Engine &amp; Tank</v>
      </c>
      <c r="B26" s="54">
        <v>7500</v>
      </c>
      <c r="C26" s="62">
        <f>$K$14</f>
        <v>12</v>
      </c>
      <c r="D26" s="61">
        <f>B26*0.05</f>
        <v>375</v>
      </c>
      <c r="E26" s="49">
        <f t="shared" si="1"/>
        <v>196.875</v>
      </c>
      <c r="F26" s="49">
        <f>B26*0.02</f>
        <v>150</v>
      </c>
      <c r="G26" s="49">
        <f t="shared" si="0"/>
        <v>593.75</v>
      </c>
      <c r="H26" s="50">
        <f>(($B$7*$B$10)/50000)*$B26+(K26*0.05)</f>
        <v>628.7642045454545</v>
      </c>
      <c r="I26" s="50">
        <f>IF(B26=0,0,IF($B$11=4,$B$7*$B$10*$B$13*0.0025,$B$7*$B$10*$B$13*0.015))</f>
        <v>450</v>
      </c>
      <c r="J26" s="87">
        <f>(((($B$9*2.31+$B$8)*450*$B$10)*$B$7/(3960))/$K$12)</f>
        <v>2780.1136363636365</v>
      </c>
      <c r="K26" s="50">
        <f>IF($B$11=5,+$B$18+((($B$9*2.31+$B$8)*450*$B$10*$B$12)/(3960*$K$12))*B7,((($B$9*2.31+$B$8)*450*$B$10*$B$12)/(3960*$K$12))*$B$7)</f>
        <v>6950.284090909091</v>
      </c>
      <c r="L26" s="66">
        <f>SUM(E26:I26)+K26</f>
        <v>8969.673295454546</v>
      </c>
      <c r="M26" s="3"/>
    </row>
    <row r="27" spans="1:26">
      <c r="A27" s="58" t="str">
        <f>E14</f>
        <v>Gated Pipe</v>
      </c>
      <c r="B27" s="54">
        <v>7700</v>
      </c>
      <c r="C27" s="62">
        <f>$E$13</f>
        <v>25</v>
      </c>
      <c r="D27" s="61">
        <f>B27*0.05</f>
        <v>385</v>
      </c>
      <c r="E27" s="49">
        <f t="shared" si="1"/>
        <v>202.125</v>
      </c>
      <c r="F27" s="49">
        <f>IF($B$6=1,$B27*0.02,IF($B$6=2,$B27*0.01,IF($B$6=3,$B27*0.01,$B27*0.005)))</f>
        <v>77</v>
      </c>
      <c r="G27" s="49">
        <f t="shared" si="0"/>
        <v>292.60000000000002</v>
      </c>
      <c r="H27" s="50">
        <f>IF($B$6=1,$B$7*$B$10/40000*$B27,IF($B$6=2,$B$7*$B$10/50000*$B27,IF($B$6=3,$B$7*$B$10/40000*$B27,IF($B$6=4,$B$7*$B$10/50000*$B27+$B$7*2,$B$7*$B$10/125000*$B27))))</f>
        <v>288.75</v>
      </c>
      <c r="I27" s="50">
        <f>IF(B27=0,0,$B$7*$B$10*$B$13/100*$E$12)</f>
        <v>1500</v>
      </c>
      <c r="J27" s="50"/>
      <c r="K27" s="50">
        <f>IF($B$6=1,($B$7*$B$10)*0.66/$K$12*$B$12,0)</f>
        <v>0</v>
      </c>
      <c r="L27" s="66">
        <f>SUM(E27:K27)</f>
        <v>2360.4749999999999</v>
      </c>
      <c r="M27" s="3"/>
    </row>
    <row r="28" spans="1:26">
      <c r="A28" s="73" t="str">
        <f>IF($B$6=2,"Reuse? (20' lift &amp; 20% reuse)",IF($B$6=3,"Reuse? (Assume 10%)"," "))</f>
        <v>Reuse? (20' lift &amp; 20% reuse)</v>
      </c>
      <c r="B28" s="54">
        <v>12000</v>
      </c>
      <c r="C28" s="56">
        <f>IF($B$6=2,25,"  ")</f>
        <v>25</v>
      </c>
      <c r="D28" s="61">
        <f>IF(B6=2,B28*0.05,0)</f>
        <v>600</v>
      </c>
      <c r="E28" s="49">
        <f t="shared" si="1"/>
        <v>315</v>
      </c>
      <c r="F28" s="49">
        <f>IF(B6=2,B28*0.02,0)</f>
        <v>240</v>
      </c>
      <c r="G28" s="49">
        <f>IF(B6=2,(B28-D28)/C28,0)</f>
        <v>456</v>
      </c>
      <c r="H28" s="50">
        <f>IF(B6=2,(($B$7*$B$10)/40000)*$B28,0)</f>
        <v>562.5</v>
      </c>
      <c r="I28" s="50">
        <f>IF(B6=2,IF(B28=0,0,$B$7*$B$10*$B$13*0.02),0)</f>
        <v>600</v>
      </c>
      <c r="J28" s="87">
        <f>IF($B$6=2,IF($B$28=0,0,IF($B$6=2,((($B$9*2.31+20)*450*$B$10*0.2)/(3960*$K$12))*$B$7,((($B$9*2.31+20)*450*$B$10/10*$B$12)/(3960*$K$12))*$B$7)),0)</f>
        <v>146.93181818181819</v>
      </c>
      <c r="K28" s="50">
        <f>IF($B$6=2,IF($B$28=0,0,IF($B$6=2,((($B$9*2.31+20)*450*$B$10/5*$B$12)/(3960*$K$12))*$B$7,((($B$9*2.31+20)*450*$B$10/10*$B$12)/(3960*$K$12))*$B$7)),0)</f>
        <v>367.32954545454544</v>
      </c>
      <c r="L28" s="66">
        <f>SUM(E28:K28)</f>
        <v>2687.7613636363635</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2500</v>
      </c>
      <c r="G30" s="52"/>
      <c r="H30" s="53"/>
      <c r="I30" s="53"/>
      <c r="J30" s="53"/>
      <c r="K30" s="50"/>
      <c r="L30" s="66">
        <f>F30</f>
        <v>2500</v>
      </c>
      <c r="M30" s="3"/>
    </row>
    <row r="31" spans="1:26">
      <c r="A31" s="58" t="s">
        <v>29</v>
      </c>
      <c r="B31" s="61">
        <f>SUM(B22:B29)</f>
        <v>58763</v>
      </c>
      <c r="C31" s="61"/>
      <c r="D31" s="61">
        <f t="shared" ref="D31:I31" si="2">SUM(D22:D29)</f>
        <v>1288.1500000000001</v>
      </c>
      <c r="E31" s="49">
        <f t="shared" si="2"/>
        <v>1501.2787499999999</v>
      </c>
      <c r="F31" s="49">
        <f t="shared" si="2"/>
        <v>782.63</v>
      </c>
      <c r="G31" s="49">
        <f t="shared" si="2"/>
        <v>2843.6416666666664</v>
      </c>
      <c r="H31" s="50">
        <f t="shared" si="2"/>
        <v>2211.0843968531467</v>
      </c>
      <c r="I31" s="50">
        <f t="shared" si="2"/>
        <v>2760</v>
      </c>
      <c r="J31" s="50"/>
      <c r="K31" s="50">
        <f>SUM(K22:K29)</f>
        <v>7317.613636363636</v>
      </c>
      <c r="L31" s="66">
        <f>SUM(L22:L30)</f>
        <v>20063.180268065269</v>
      </c>
      <c r="M31" s="3"/>
    </row>
    <row r="32" spans="1:26" ht="13.5" thickBot="1">
      <c r="A32" s="3"/>
      <c r="B32" s="3"/>
      <c r="C32" s="3"/>
      <c r="D32" s="3"/>
      <c r="E32" s="3"/>
      <c r="F32" s="3"/>
      <c r="G32" s="3"/>
      <c r="H32" s="3"/>
      <c r="I32" s="3"/>
      <c r="J32" s="3"/>
      <c r="K32" s="3"/>
      <c r="L32" s="3"/>
    </row>
    <row r="33" spans="1:13">
      <c r="A33" s="90" t="s">
        <v>72</v>
      </c>
      <c r="B33" s="3"/>
      <c r="C33" s="3"/>
      <c r="D33" s="3"/>
      <c r="E33" s="3"/>
      <c r="F33" s="75"/>
      <c r="G33" s="31" t="s">
        <v>22</v>
      </c>
      <c r="H33" s="32"/>
      <c r="I33" s="33" t="s">
        <v>21</v>
      </c>
      <c r="J33" s="33"/>
      <c r="K33" s="34"/>
      <c r="L33" s="110" t="s">
        <v>64</v>
      </c>
      <c r="M33" s="3"/>
    </row>
    <row r="34" spans="1:13">
      <c r="A34" s="3" t="s">
        <v>65</v>
      </c>
      <c r="B34" s="3"/>
      <c r="C34" s="3"/>
      <c r="D34" s="3"/>
      <c r="E34" s="3"/>
      <c r="F34" s="76"/>
      <c r="G34" s="27"/>
      <c r="H34" s="28"/>
      <c r="I34" s="30"/>
      <c r="J34" s="30"/>
      <c r="K34" s="35"/>
      <c r="L34" s="111"/>
      <c r="M34" s="3"/>
    </row>
    <row r="35" spans="1:13">
      <c r="A35" s="90" t="s">
        <v>69</v>
      </c>
      <c r="B35" s="3"/>
      <c r="C35" s="3"/>
      <c r="D35" s="3"/>
      <c r="E35" s="3"/>
      <c r="F35" s="77" t="s">
        <v>34</v>
      </c>
      <c r="G35" s="43">
        <f>SUM(E22:E28)+SUM(F22:F28)+SUM(G22:G28)+F30</f>
        <v>7627.5504166666669</v>
      </c>
      <c r="H35" s="29"/>
      <c r="I35" s="44">
        <f>SUM(H22:H28)+SUM(I22:I28)+SUM(K22:K28)+L29</f>
        <v>12288.698033216782</v>
      </c>
      <c r="J35" s="44"/>
      <c r="K35" s="40"/>
      <c r="L35" s="63">
        <f>G35+I35</f>
        <v>19916.248449883449</v>
      </c>
      <c r="M35" s="3"/>
    </row>
    <row r="36" spans="1:13">
      <c r="A36" s="3" t="s">
        <v>66</v>
      </c>
      <c r="B36" s="3"/>
      <c r="C36" s="3"/>
      <c r="D36" s="3"/>
      <c r="E36" s="3"/>
      <c r="F36" s="77" t="s">
        <v>3</v>
      </c>
      <c r="G36" s="41">
        <f>G35/$B$7</f>
        <v>61.020403333333334</v>
      </c>
      <c r="H36" s="29"/>
      <c r="I36" s="42">
        <f>I35/$B$7</f>
        <v>98.309584265734259</v>
      </c>
      <c r="J36" s="42"/>
      <c r="K36" s="40"/>
      <c r="L36" s="64">
        <f>G36+I36</f>
        <v>159.32998759906758</v>
      </c>
      <c r="M36" s="3"/>
    </row>
    <row r="37" spans="1:13" ht="13.5" thickBot="1">
      <c r="A37" s="90" t="s">
        <v>73</v>
      </c>
      <c r="B37" s="3"/>
      <c r="C37" s="3"/>
      <c r="D37" s="3"/>
      <c r="E37" s="3"/>
      <c r="F37" s="78" t="s">
        <v>0</v>
      </c>
      <c r="G37" s="36">
        <f>G35/($B$10*$B$7)</f>
        <v>4.0680268888888893</v>
      </c>
      <c r="H37" s="37"/>
      <c r="I37" s="38">
        <f>I35/($B$10*$B$7)</f>
        <v>6.5539722843822839</v>
      </c>
      <c r="J37" s="38"/>
      <c r="K37" s="39"/>
      <c r="L37" s="65">
        <f>G37+I37</f>
        <v>10.621999173271174</v>
      </c>
      <c r="M37" s="3"/>
    </row>
    <row r="38" spans="1:13">
      <c r="A38" s="3" t="s">
        <v>67</v>
      </c>
      <c r="B38" s="3"/>
      <c r="C38" s="3"/>
      <c r="D38" s="3"/>
      <c r="E38" s="3"/>
      <c r="F38" s="3"/>
      <c r="G38" s="3"/>
      <c r="H38" s="3"/>
      <c r="I38" s="3"/>
      <c r="J38" s="3"/>
      <c r="K38" s="3"/>
      <c r="L38" s="3"/>
      <c r="M38" s="3"/>
    </row>
    <row r="39" spans="1:13">
      <c r="A39" s="90" t="s">
        <v>74</v>
      </c>
      <c r="B39" s="3"/>
      <c r="C39" s="3"/>
      <c r="D39" s="3"/>
      <c r="E39" s="3"/>
      <c r="F39" s="3"/>
      <c r="G39" s="3"/>
      <c r="H39" s="3"/>
      <c r="I39" s="3"/>
      <c r="J39" s="3"/>
      <c r="K39" s="3"/>
      <c r="L39" s="3"/>
    </row>
    <row r="40" spans="1:13" ht="13.5" thickBot="1">
      <c r="A40" s="91" t="s">
        <v>68</v>
      </c>
      <c r="B40" s="3"/>
      <c r="C40" s="3"/>
      <c r="D40" s="3"/>
      <c r="E40" s="3"/>
      <c r="F40" s="3"/>
    </row>
    <row r="41" spans="1:13">
      <c r="A41" s="105"/>
      <c r="B41" s="92"/>
      <c r="C41" s="92"/>
      <c r="D41" s="92"/>
      <c r="E41" s="92"/>
    </row>
    <row r="42" spans="1:13" ht="13.5" thickBot="1">
      <c r="A42" s="106"/>
      <c r="B42" s="92"/>
      <c r="C42" s="94"/>
      <c r="D42" s="94"/>
      <c r="E42" s="94"/>
    </row>
    <row r="43" spans="1:13">
      <c r="A43" s="3"/>
    </row>
    <row r="45" spans="1:13">
      <c r="F45" s="1"/>
    </row>
    <row r="47" spans="1:13">
      <c r="F47" s="5"/>
    </row>
  </sheetData>
  <sheetProtection password="DF99" sheet="1" objects="1" scenarios="1" formatColumns="0"/>
  <mergeCells count="9">
    <mergeCell ref="A1:L1"/>
    <mergeCell ref="D10:L10"/>
    <mergeCell ref="L33:L34"/>
    <mergeCell ref="L20:L21"/>
    <mergeCell ref="E7:K7"/>
    <mergeCell ref="A2:B2"/>
    <mergeCell ref="V17:Y17"/>
    <mergeCell ref="V5:Y5"/>
    <mergeCell ref="E6:K6"/>
  </mergeCells>
  <phoneticPr fontId="4" type="noConversion"/>
  <conditionalFormatting sqref="F18:G18 D18">
    <cfRule type="expression" dxfId="23" priority="1" stopIfTrue="1">
      <formula>$B$11=5</formula>
    </cfRule>
    <cfRule type="expression" dxfId="22" priority="2" stopIfTrue="1">
      <formula>$B$11&lt;5</formula>
    </cfRule>
  </conditionalFormatting>
  <conditionalFormatting sqref="C18 E18">
    <cfRule type="expression" dxfId="21" priority="3" stopIfTrue="1">
      <formula>$B$11=5</formula>
    </cfRule>
    <cfRule type="expression" dxfId="20" priority="4" stopIfTrue="1">
      <formula>$B$11&lt;5</formula>
    </cfRule>
  </conditionalFormatting>
  <conditionalFormatting sqref="B18">
    <cfRule type="expression" dxfId="19" priority="5" stopIfTrue="1">
      <formula>$B$11=5</formula>
    </cfRule>
    <cfRule type="expression" dxfId="18" priority="6" stopIfTrue="1">
      <formula>$B$11&lt;5</formula>
    </cfRule>
  </conditionalFormatting>
  <pageMargins left="0.25" right="0.25" top="0.5" bottom="0.5" header="0" footer="0"/>
  <pageSetup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dimension ref="A1:Z47"/>
  <sheetViews>
    <sheetView workbookViewId="0">
      <selection activeCell="E22" sqref="E22"/>
    </sheetView>
  </sheetViews>
  <sheetFormatPr defaultRowHeight="12.75"/>
  <cols>
    <col min="1" max="1" width="25.85546875" customWidth="1"/>
    <col min="2" max="2" width="10.7109375" customWidth="1"/>
    <col min="3" max="3" width="6.28515625" customWidth="1"/>
    <col min="4" max="4" width="8.7109375" customWidth="1"/>
    <col min="5" max="5" width="8.85546875" customWidth="1"/>
    <col min="6" max="6" width="14.85546875" customWidth="1"/>
    <col min="7" max="7" width="10.42578125" customWidth="1"/>
    <col min="9" max="9" width="11.5703125" customWidth="1"/>
    <col min="10" max="10" width="9.28515625" customWidth="1"/>
    <col min="11" max="11" width="9.7109375" customWidth="1"/>
    <col min="12"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31</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2</v>
      </c>
      <c r="C6" s="13"/>
      <c r="D6" s="24"/>
      <c r="E6" s="119" t="s">
        <v>57</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45</v>
      </c>
      <c r="C9" s="3"/>
      <c r="D9" s="8"/>
      <c r="E9" s="8"/>
      <c r="F9" s="8"/>
      <c r="G9" s="8"/>
      <c r="H9" s="8"/>
      <c r="I9" s="8"/>
      <c r="J9" s="8"/>
      <c r="K9" s="8"/>
      <c r="L9" s="17"/>
      <c r="M9" s="3"/>
      <c r="U9" s="6"/>
      <c r="V9" s="7" t="s">
        <v>47</v>
      </c>
      <c r="W9" s="8">
        <v>4</v>
      </c>
      <c r="X9" s="6"/>
      <c r="Y9" s="6"/>
      <c r="Z9" s="6"/>
    </row>
    <row r="10" spans="1:26" ht="15">
      <c r="A10" s="67" t="s">
        <v>10</v>
      </c>
      <c r="B10" s="68">
        <v>15</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2</v>
      </c>
      <c r="C11" s="3"/>
      <c r="D11" s="14"/>
      <c r="F11" s="14"/>
      <c r="G11" s="26"/>
      <c r="H11" s="14"/>
      <c r="I11" s="14"/>
      <c r="J11" s="14"/>
      <c r="K11" s="18"/>
      <c r="L11" s="17"/>
      <c r="M11" s="3"/>
      <c r="N11" s="3"/>
      <c r="U11" s="6"/>
      <c r="V11" s="6"/>
      <c r="W11" s="8"/>
      <c r="X11" s="6"/>
      <c r="Y11" s="6"/>
      <c r="Z11" s="6"/>
    </row>
    <row r="12" spans="1:26" ht="15" customHeight="1">
      <c r="A12" s="89" t="str">
        <f>LOOKUP($B$11,$W$18:$W$22,$Z$18:$Z$22)</f>
        <v>$/MCF</v>
      </c>
      <c r="B12" s="69">
        <v>8</v>
      </c>
      <c r="C12" s="3"/>
      <c r="D12" s="20" t="s">
        <v>18</v>
      </c>
      <c r="E12" s="19">
        <f>IF($B$6=1,3,IF($B$6=2,5,IF($B$6=3,5,IF($B$6=4,7,IF($B$6=5,2,0)))))</f>
        <v>5</v>
      </c>
      <c r="F12" s="19"/>
      <c r="G12" s="19"/>
      <c r="H12" s="19"/>
      <c r="I12" s="20" t="s">
        <v>76</v>
      </c>
      <c r="J12" s="20"/>
      <c r="K12" s="21">
        <f>IF($B$11=1,12.5,IF($B$11=2,61.7,IF($B$11=3, 6.67,IF($B$11=4,6.89,IF($B$11=5,0.885,0)))))</f>
        <v>61.7</v>
      </c>
      <c r="L12" s="17"/>
      <c r="M12" s="4"/>
      <c r="N12" s="3"/>
      <c r="O12" s="3"/>
      <c r="U12" s="6"/>
      <c r="V12" s="9"/>
      <c r="W12" s="9"/>
      <c r="X12" s="6"/>
      <c r="Y12" s="6"/>
      <c r="Z12" s="6"/>
    </row>
    <row r="13" spans="1:26">
      <c r="A13" s="70" t="s">
        <v>17</v>
      </c>
      <c r="B13" s="71">
        <v>16</v>
      </c>
      <c r="C13" s="3"/>
      <c r="D13" s="20" t="s">
        <v>27</v>
      </c>
      <c r="E13" s="19">
        <f>IF($B$6=1,20,IF($B$6=2,25,IF($B$6=3,23,IF($B$6=4,25,IF($B$6=5,10,0)))))</f>
        <v>25</v>
      </c>
      <c r="F13" s="19"/>
      <c r="G13" s="19"/>
      <c r="H13" s="19"/>
      <c r="I13" s="20" t="s">
        <v>8</v>
      </c>
      <c r="J13" s="20"/>
      <c r="K13" s="19">
        <f>IF($B$11=1,0.0833,IF($B$11=2,0.1667,IF($B$11=3,0.1667,IF($B$11=4,0.1667,IF($B$11=5,0.05,0)))))</f>
        <v>0.16669999999999999</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Gated Pipe</v>
      </c>
      <c r="F14" s="19"/>
      <c r="G14" s="19"/>
      <c r="H14" s="19"/>
      <c r="I14" s="20" t="s">
        <v>78</v>
      </c>
      <c r="J14" s="20"/>
      <c r="K14" s="19">
        <f>IF($B$11=1,12,IF($B$11=2,6,IF($B$11=3,6,IF($B$11=4,6,IF($B$11=5,30,0)))))</f>
        <v>6</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Nat.Gas Engine</v>
      </c>
      <c r="L15" s="17"/>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Nat Gas</v>
      </c>
      <c r="K21" s="48" t="s">
        <v>79</v>
      </c>
      <c r="L21" s="111"/>
      <c r="M21" s="3"/>
      <c r="U21" s="6"/>
      <c r="V21" s="7" t="s">
        <v>50</v>
      </c>
      <c r="W21" s="8">
        <v>4</v>
      </c>
      <c r="X21" s="8">
        <v>6.89</v>
      </c>
      <c r="Y21" s="8" t="s">
        <v>36</v>
      </c>
      <c r="Z21" s="6" t="s">
        <v>54</v>
      </c>
    </row>
    <row r="22" spans="1:26">
      <c r="A22" s="58" t="s">
        <v>16</v>
      </c>
      <c r="B22" s="54">
        <v>16500</v>
      </c>
      <c r="C22" s="60">
        <v>25</v>
      </c>
      <c r="D22" s="61">
        <f>B22*0.05*(-1)</f>
        <v>-825</v>
      </c>
      <c r="E22" s="49">
        <f>IF(B22&gt;0,((B22+D22)/2*$B$15/100),0)</f>
        <v>391.875</v>
      </c>
      <c r="F22" s="49">
        <f>B22*0.01</f>
        <v>165</v>
      </c>
      <c r="G22" s="49">
        <f t="shared" ref="G22:G27" si="0">(B22-D22)/C22</f>
        <v>693</v>
      </c>
      <c r="H22" s="50">
        <f>(($B$7*$B$10)/120000)*$B22</f>
        <v>257.8125</v>
      </c>
      <c r="I22" s="50">
        <f>IF(B22=0,0,$B$7*$B$10*$B$13*0.001)</f>
        <v>30</v>
      </c>
      <c r="J22" s="88" t="str">
        <f>LOOKUP($B$11,W18:W22,Y18:Y22)</f>
        <v>MCF</v>
      </c>
      <c r="K22" s="109" t="str">
        <f>IF($B$11=5,"kW+Hookup"," ")</f>
        <v xml:space="preserve"> </v>
      </c>
      <c r="L22" s="66">
        <f>SUM(E$22:K$22)</f>
        <v>1537.6875</v>
      </c>
      <c r="M22" s="3"/>
      <c r="U22" s="6"/>
      <c r="V22" s="7" t="s">
        <v>37</v>
      </c>
      <c r="W22" s="8">
        <v>5</v>
      </c>
      <c r="X22" s="8">
        <v>0.88500000000000001</v>
      </c>
      <c r="Y22" s="8" t="s">
        <v>51</v>
      </c>
      <c r="Z22" s="6" t="s">
        <v>55</v>
      </c>
    </row>
    <row r="23" spans="1:26">
      <c r="A23" s="58" t="s">
        <v>15</v>
      </c>
      <c r="B23" s="54">
        <v>11163</v>
      </c>
      <c r="C23" s="60">
        <v>18</v>
      </c>
      <c r="D23" s="61">
        <f>B23*0.05</f>
        <v>558.15</v>
      </c>
      <c r="E23" s="49">
        <f t="shared" ref="E23:E28" si="1">IF(B23&gt;0,((B23+D23)/2*$B$15/100),0)</f>
        <v>293.02875</v>
      </c>
      <c r="F23" s="49">
        <f>B23*0.01</f>
        <v>111.63</v>
      </c>
      <c r="G23" s="49">
        <f t="shared" si="0"/>
        <v>589.1583333333333</v>
      </c>
      <c r="H23" s="50">
        <f>(($B$7*$B$10)/75000)*$B23+$B$7*$B$10/65*$B$16</f>
        <v>408.88269230769231</v>
      </c>
      <c r="I23" s="50">
        <f>IF(B23=0,0,$B$7*$B$10*$B$13*0.004)</f>
        <v>120</v>
      </c>
      <c r="J23" s="50"/>
      <c r="K23" s="107" t="str">
        <f>IF($B$11=5,"$/kW-h"," ")</f>
        <v xml:space="preserve"> </v>
      </c>
      <c r="L23" s="66">
        <f>SUM(E23:K23)</f>
        <v>1522.6997756410256</v>
      </c>
      <c r="M23" s="3"/>
      <c r="U23" s="6"/>
      <c r="V23" s="12"/>
      <c r="W23" s="9"/>
      <c r="X23" s="8"/>
      <c r="Y23" s="11"/>
      <c r="Z23" s="6"/>
    </row>
    <row r="24" spans="1:26">
      <c r="A24" s="58" t="s">
        <v>9</v>
      </c>
      <c r="B24" s="55">
        <v>2800</v>
      </c>
      <c r="C24" s="60">
        <v>15</v>
      </c>
      <c r="D24" s="61">
        <f>B24*0.05</f>
        <v>140</v>
      </c>
      <c r="E24" s="49">
        <f t="shared" si="1"/>
        <v>73.5</v>
      </c>
      <c r="F24" s="49">
        <f>B24*0.01</f>
        <v>28</v>
      </c>
      <c r="G24" s="49">
        <f t="shared" si="0"/>
        <v>177.33333333333334</v>
      </c>
      <c r="H24" s="50">
        <f>(($B$7*$B$10)/120000)*$B24</f>
        <v>43.75</v>
      </c>
      <c r="I24" s="50">
        <f>IF(B24=0,0,$B$7*$B$10*$B$13*0.001)</f>
        <v>30</v>
      </c>
      <c r="J24" s="50"/>
      <c r="K24" s="51" t="str">
        <f>IF($B$11=5,K26/J26," ")</f>
        <v xml:space="preserve"> </v>
      </c>
      <c r="L24" s="66">
        <f>SUM(E24:K24)</f>
        <v>352.58333333333337</v>
      </c>
      <c r="M24" s="3"/>
    </row>
    <row r="25" spans="1:26">
      <c r="A25" s="58" t="s">
        <v>23</v>
      </c>
      <c r="B25" s="54">
        <v>1100</v>
      </c>
      <c r="C25" s="60">
        <v>25</v>
      </c>
      <c r="D25" s="61">
        <f>B25*0.05</f>
        <v>55</v>
      </c>
      <c r="E25" s="49">
        <f t="shared" si="1"/>
        <v>28.875</v>
      </c>
      <c r="F25" s="49">
        <f>B25*0.01</f>
        <v>11</v>
      </c>
      <c r="G25" s="49">
        <f t="shared" si="0"/>
        <v>41.8</v>
      </c>
      <c r="H25" s="50">
        <f>(($B$7*$B$10)/100000)*$B25</f>
        <v>20.625</v>
      </c>
      <c r="I25" s="50">
        <f>IF(B25=0,0,$B$7*$B$10*$B$13*0.001)</f>
        <v>30</v>
      </c>
      <c r="J25" s="50"/>
      <c r="K25" s="51"/>
      <c r="L25" s="66">
        <f>SUM(E25:K25)</f>
        <v>132.30000000000001</v>
      </c>
      <c r="M25" s="3"/>
    </row>
    <row r="26" spans="1:26">
      <c r="A26" s="58" t="str">
        <f>K15</f>
        <v>Nat.Gas Engine</v>
      </c>
      <c r="B26" s="54">
        <v>4800</v>
      </c>
      <c r="C26" s="62">
        <f>$K$14</f>
        <v>6</v>
      </c>
      <c r="D26" s="61">
        <f>B26*0.05</f>
        <v>240</v>
      </c>
      <c r="E26" s="49">
        <f t="shared" si="1"/>
        <v>126</v>
      </c>
      <c r="F26" s="49">
        <f>B26*0.02</f>
        <v>96</v>
      </c>
      <c r="G26" s="49">
        <f t="shared" si="0"/>
        <v>760</v>
      </c>
      <c r="H26" s="50">
        <f>(($B$7*$B$10)/50000)*$B26+(K26*0.05)</f>
        <v>516.972336820392</v>
      </c>
      <c r="I26" s="50">
        <f>IF(B26=0,0,IF($B$11=4,$B$7*$B$10*$B$13*0.0025,$B$7*$B$10*$B$13*0.015))</f>
        <v>450</v>
      </c>
      <c r="J26" s="87">
        <f>(((($B$9*2.31+$B$8)*450*$B$10)*$B$7/(3960))/$K$12)</f>
        <v>842.43084205097978</v>
      </c>
      <c r="K26" s="50">
        <f>IF($B$11=5,+$B$18+((($B$9*2.31+$B$8)*450*$B$10*$B$12)/(3960*$K$12))*B7,((($B$9*2.31+$B$8)*450*$B$10*$B$12)/(3960*$K$12))*$B$7)</f>
        <v>6739.4467364078391</v>
      </c>
      <c r="L26" s="66">
        <f>SUM(E26:I26)+K26</f>
        <v>8688.4190732282314</v>
      </c>
      <c r="M26" s="3"/>
    </row>
    <row r="27" spans="1:26">
      <c r="A27" s="58" t="str">
        <f>E14</f>
        <v>Gated Pipe</v>
      </c>
      <c r="B27" s="54">
        <v>7700</v>
      </c>
      <c r="C27" s="62">
        <f>$E$13</f>
        <v>25</v>
      </c>
      <c r="D27" s="61">
        <f>B27*0.05</f>
        <v>385</v>
      </c>
      <c r="E27" s="49">
        <f t="shared" si="1"/>
        <v>202.125</v>
      </c>
      <c r="F27" s="49">
        <f>IF($B$6=1,$B27*0.02,IF($B$6=2,$B27*0.01,IF($B$6=3,$B27*0.01,$B27*0.005)))</f>
        <v>77</v>
      </c>
      <c r="G27" s="49">
        <f t="shared" si="0"/>
        <v>292.60000000000002</v>
      </c>
      <c r="H27" s="50">
        <f>IF($B$6=1,$B$7*$B$10/40000*$B27,IF($B$6=2,$B$7*$B$10/50000*$B27,IF($B$6=3,$B$7*$B$10/40000*$B27,IF($B$6=4,$B$7*$B$10/50000*$B27+$B$7*2,$B$7*$B$10/125000*$B27))))</f>
        <v>288.75</v>
      </c>
      <c r="I27" s="50">
        <f>IF(B27=0,0,$B$7*$B$10*$B$13/100*$E$12)</f>
        <v>1500</v>
      </c>
      <c r="J27" s="50"/>
      <c r="K27" s="50">
        <f>IF($B$6=1,($B$7*$B$10)*0.66/$K$12*$B$12,0)</f>
        <v>0</v>
      </c>
      <c r="L27" s="66">
        <f>SUM(E27:K27)</f>
        <v>2360.4749999999999</v>
      </c>
      <c r="M27" s="3"/>
    </row>
    <row r="28" spans="1:26">
      <c r="A28" s="73" t="str">
        <f>IF($B$6=2,"Reuse? (20' lift &amp; 20% reuse)",IF($B$6=3,"Reuse? (Assume 10%)"," "))</f>
        <v>Reuse? (20' lift &amp; 20% reuse)</v>
      </c>
      <c r="B28" s="54">
        <v>12000</v>
      </c>
      <c r="C28" s="56">
        <f>IF($B$6=2,25,"  ")</f>
        <v>25</v>
      </c>
      <c r="D28" s="61">
        <f>IF(B6=2,B28*0.05,0)</f>
        <v>600</v>
      </c>
      <c r="E28" s="49">
        <f t="shared" si="1"/>
        <v>315</v>
      </c>
      <c r="F28" s="49">
        <f>IF(B6=2,B28*0.02,0)</f>
        <v>240</v>
      </c>
      <c r="G28" s="49">
        <f>IF(B6=2,(B28-D28)/C28,0)</f>
        <v>456</v>
      </c>
      <c r="H28" s="50">
        <f>IF(B6=2,(($B$7*$B$10)/40000)*$B28,0)</f>
        <v>562.5</v>
      </c>
      <c r="I28" s="50">
        <f>IF(B6=2,IF(B28=0,0,$B$7*$B$10*$B$13*0.02),0)</f>
        <v>600</v>
      </c>
      <c r="J28" s="87">
        <f>IF($B$6=2,IF($B$28=0,0,IF($B$6=2,((($B$9*2.31+20)*450*$B$10*0.2)/(3960*$K$12))*$B$7,((($B$9*2.31+20)*450*$B$10/10*$B$12)/(3960*$K$12))*$B$7)),0)</f>
        <v>85.607134963901572</v>
      </c>
      <c r="K28" s="50">
        <f>IF($B$6=2,IF($B$28=0,0,IF($B$6=2,((($B$9*2.31+20)*450*$B$10/5*$B$12)/(3960*$K$12))*$B$7,((($B$9*2.31+20)*450*$B$10/10*$B$12)/(3960*$K$12))*$B$7)),0)</f>
        <v>684.85707971121258</v>
      </c>
      <c r="L28" s="66">
        <f>SUM(E28:K28)</f>
        <v>2943.9642146751139</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2500</v>
      </c>
      <c r="G30" s="52"/>
      <c r="H30" s="53"/>
      <c r="I30" s="53"/>
      <c r="J30" s="53"/>
      <c r="K30" s="50"/>
      <c r="L30" s="66">
        <f>F30</f>
        <v>2500</v>
      </c>
      <c r="M30" s="3"/>
    </row>
    <row r="31" spans="1:26">
      <c r="A31" s="58" t="s">
        <v>29</v>
      </c>
      <c r="B31" s="61">
        <f>SUM(B22:B29)</f>
        <v>56063</v>
      </c>
      <c r="C31" s="61"/>
      <c r="D31" s="61">
        <f t="shared" ref="D31:I31" si="2">SUM(D22:D29)</f>
        <v>1153.1500000000001</v>
      </c>
      <c r="E31" s="49">
        <f t="shared" si="2"/>
        <v>1430.4037499999999</v>
      </c>
      <c r="F31" s="49">
        <f t="shared" si="2"/>
        <v>728.63</v>
      </c>
      <c r="G31" s="49">
        <f t="shared" si="2"/>
        <v>3009.8916666666664</v>
      </c>
      <c r="H31" s="50">
        <f t="shared" si="2"/>
        <v>2099.2925291280844</v>
      </c>
      <c r="I31" s="50">
        <f t="shared" si="2"/>
        <v>2760</v>
      </c>
      <c r="J31" s="50"/>
      <c r="K31" s="50">
        <f>SUM(K22:K29)</f>
        <v>7424.3038161190516</v>
      </c>
      <c r="L31" s="66">
        <f>SUM(L22:L30)</f>
        <v>20038.128896877704</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7668.9254166666669</v>
      </c>
      <c r="H35" s="29"/>
      <c r="I35" s="44">
        <f>SUM(H22:H28)+SUM(I22:I28)+SUM(K22:K28)+L29</f>
        <v>12283.596345247137</v>
      </c>
      <c r="J35" s="44"/>
      <c r="K35" s="40"/>
      <c r="L35" s="63">
        <f>G35+I35</f>
        <v>19952.521761913806</v>
      </c>
      <c r="M35" s="3"/>
    </row>
    <row r="36" spans="1:13">
      <c r="A36" s="85" t="s">
        <v>66</v>
      </c>
      <c r="B36" s="3"/>
      <c r="C36" s="3"/>
      <c r="D36" s="3"/>
      <c r="E36" s="101"/>
      <c r="F36" s="77" t="s">
        <v>3</v>
      </c>
      <c r="G36" s="41">
        <f>G35/$B$7</f>
        <v>61.351403333333337</v>
      </c>
      <c r="H36" s="29"/>
      <c r="I36" s="42">
        <f>I35/$B$7</f>
        <v>98.268770761977095</v>
      </c>
      <c r="J36" s="42"/>
      <c r="K36" s="40"/>
      <c r="L36" s="64">
        <f>G36+I36</f>
        <v>159.62017409531043</v>
      </c>
      <c r="M36" s="3"/>
    </row>
    <row r="37" spans="1:13" ht="13.5" thickBot="1">
      <c r="A37" s="100" t="s">
        <v>73</v>
      </c>
      <c r="B37" s="3"/>
      <c r="C37" s="3"/>
      <c r="D37" s="3"/>
      <c r="E37" s="101"/>
      <c r="F37" s="78" t="s">
        <v>0</v>
      </c>
      <c r="G37" s="36">
        <f>G35/($B$10*$B$7)</f>
        <v>4.0900935555555558</v>
      </c>
      <c r="H37" s="37"/>
      <c r="I37" s="38">
        <f>I35/($B$10*$B$7)</f>
        <v>6.5512513841318061</v>
      </c>
      <c r="J37" s="38"/>
      <c r="K37" s="39"/>
      <c r="L37" s="65">
        <f>G37+I37</f>
        <v>10.641344939687361</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17" priority="1" stopIfTrue="1">
      <formula>$B$11=5</formula>
    </cfRule>
    <cfRule type="expression" dxfId="16" priority="2" stopIfTrue="1">
      <formula>$B$11&lt;5</formula>
    </cfRule>
  </conditionalFormatting>
  <conditionalFormatting sqref="C18 E18">
    <cfRule type="expression" dxfId="15" priority="3" stopIfTrue="1">
      <formula>$B$11=5</formula>
    </cfRule>
    <cfRule type="expression" dxfId="14" priority="4" stopIfTrue="1">
      <formula>$B$11&lt;5</formula>
    </cfRule>
  </conditionalFormatting>
  <conditionalFormatting sqref="B18">
    <cfRule type="expression" dxfId="13" priority="5" stopIfTrue="1">
      <formula>$B$11=5</formula>
    </cfRule>
    <cfRule type="expression" dxfId="12" priority="6" stopIfTrue="1">
      <formula>$B$11&lt;5</formula>
    </cfRule>
  </conditionalFormatting>
  <pageMargins left="0.25" right="0.25" top="0.5" bottom="0.5" header="0" footer="0"/>
  <pageSetup orientation="landscape" r:id="rId1"/>
  <headerFooter alignWithMargins="0"/>
  <legacyDrawing r:id="rId2"/>
</worksheet>
</file>

<file path=xl/worksheets/sheet7.xml><?xml version="1.0" encoding="utf-8"?>
<worksheet xmlns="http://schemas.openxmlformats.org/spreadsheetml/2006/main" xmlns:r="http://schemas.openxmlformats.org/officeDocument/2006/relationships">
  <dimension ref="A1:Z47"/>
  <sheetViews>
    <sheetView workbookViewId="0">
      <selection activeCell="E22" sqref="E22"/>
    </sheetView>
  </sheetViews>
  <sheetFormatPr defaultRowHeight="12.75"/>
  <cols>
    <col min="1" max="1" width="25.85546875" customWidth="1"/>
    <col min="2" max="2" width="10.85546875" customWidth="1"/>
    <col min="3" max="3" width="6.42578125" customWidth="1"/>
    <col min="4" max="5" width="8.7109375" customWidth="1"/>
    <col min="6" max="6" width="14" customWidth="1"/>
    <col min="7" max="7" width="9.7109375" customWidth="1"/>
    <col min="8" max="8" width="9.28515625" customWidth="1"/>
    <col min="9" max="9" width="12.28515625" customWidth="1"/>
    <col min="10" max="10" width="9.28515625" customWidth="1"/>
    <col min="11"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59</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2</v>
      </c>
      <c r="C6" s="13"/>
      <c r="D6" s="24"/>
      <c r="E6" s="119" t="s">
        <v>57</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45</v>
      </c>
      <c r="C9" s="3"/>
      <c r="D9" s="8"/>
      <c r="E9" s="8"/>
      <c r="F9" s="8"/>
      <c r="G9" s="8"/>
      <c r="H9" s="8"/>
      <c r="I9" s="8"/>
      <c r="J9" s="8"/>
      <c r="K9" s="8"/>
      <c r="L9" s="17"/>
      <c r="M9" s="3"/>
      <c r="U9" s="6"/>
      <c r="V9" s="7" t="s">
        <v>47</v>
      </c>
      <c r="W9" s="8">
        <v>4</v>
      </c>
      <c r="X9" s="6"/>
      <c r="Y9" s="6"/>
      <c r="Z9" s="6"/>
    </row>
    <row r="10" spans="1:26" ht="15">
      <c r="A10" s="67" t="s">
        <v>10</v>
      </c>
      <c r="B10" s="68">
        <v>15</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4</v>
      </c>
      <c r="C11" s="3"/>
      <c r="D11" s="14"/>
      <c r="F11" s="14"/>
      <c r="G11" s="26"/>
      <c r="H11" s="14"/>
      <c r="I11" s="14"/>
      <c r="J11" s="14"/>
      <c r="K11" s="18"/>
      <c r="L11" s="17"/>
      <c r="M11" s="3"/>
      <c r="N11" s="3"/>
      <c r="U11" s="6"/>
      <c r="V11" s="6"/>
      <c r="W11" s="8"/>
      <c r="X11" s="6"/>
      <c r="Y11" s="6"/>
      <c r="Z11" s="6"/>
    </row>
    <row r="12" spans="1:26" ht="15" customHeight="1">
      <c r="A12" s="89" t="str">
        <f>LOOKUP($B$11,$W$18:$W$22,$Z$18:$Z$22)</f>
        <v>$/Gallon</v>
      </c>
      <c r="B12" s="69">
        <v>1.9</v>
      </c>
      <c r="C12" s="3"/>
      <c r="D12" s="20" t="s">
        <v>18</v>
      </c>
      <c r="E12" s="19">
        <f>IF($B$6=1,3,IF($B$6=2,5,IF($B$6=3,5,IF($B$6=4,7,IF($B$6=5,2,0)))))</f>
        <v>5</v>
      </c>
      <c r="F12" s="19"/>
      <c r="G12" s="19"/>
      <c r="H12" s="19"/>
      <c r="I12" s="20" t="s">
        <v>76</v>
      </c>
      <c r="J12" s="20"/>
      <c r="K12" s="21">
        <f>IF($B$11=1,12.5,IF($B$11=2,61.7,IF($B$11=3, 6.67,IF($B$11=4,6.89,IF($B$11=5,0.885,0)))))</f>
        <v>6.89</v>
      </c>
      <c r="L12" s="17"/>
      <c r="M12" s="4"/>
      <c r="N12" s="3"/>
      <c r="O12" s="3"/>
      <c r="U12" s="6"/>
      <c r="V12" s="9"/>
      <c r="W12" s="9"/>
      <c r="X12" s="6"/>
      <c r="Y12" s="6"/>
      <c r="Z12" s="6"/>
    </row>
    <row r="13" spans="1:26">
      <c r="A13" s="70" t="s">
        <v>17</v>
      </c>
      <c r="B13" s="71">
        <v>16</v>
      </c>
      <c r="C13" s="3"/>
      <c r="D13" s="20" t="s">
        <v>27</v>
      </c>
      <c r="E13" s="19">
        <f>IF($B$6=1,20,IF($B$6=2,25,IF($B$6=3,23,IF($B$6=4,25,IF($B$6=5,10,0)))))</f>
        <v>25</v>
      </c>
      <c r="F13" s="19"/>
      <c r="G13" s="19"/>
      <c r="H13" s="19"/>
      <c r="I13" s="20" t="s">
        <v>8</v>
      </c>
      <c r="J13" s="20"/>
      <c r="K13" s="19">
        <f>IF($B$11=1,0.0833,IF($B$11=2,0.1667,IF($B$11=3,0.1667,IF($B$11=4,0.1667,IF($B$11=5,0.05,0)))))</f>
        <v>0.16669999999999999</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Gated Pipe</v>
      </c>
      <c r="F14" s="19"/>
      <c r="G14" s="19"/>
      <c r="H14" s="19"/>
      <c r="I14" s="20" t="s">
        <v>78</v>
      </c>
      <c r="J14" s="20"/>
      <c r="K14" s="19">
        <f>IF($B$11=1,12,IF($B$11=2,6,IF($B$11=3,6,IF($B$11=4,6,IF($B$11=5,30,0)))))</f>
        <v>6</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LP Gas Engine</v>
      </c>
      <c r="L15" s="17"/>
      <c r="M15" s="3"/>
      <c r="U15" s="6"/>
      <c r="V15" s="6"/>
      <c r="W15" s="6"/>
      <c r="X15" s="6"/>
      <c r="Y15" s="6"/>
      <c r="Z15" s="6"/>
    </row>
    <row r="16" spans="1:26">
      <c r="A16" s="67" t="s">
        <v>7</v>
      </c>
      <c r="B16" s="71">
        <v>4.5</v>
      </c>
      <c r="C16" s="3"/>
      <c r="D16" s="3"/>
      <c r="E16" s="3"/>
      <c r="F16" s="3"/>
      <c r="G16" s="3"/>
      <c r="H16" s="8"/>
      <c r="I16" s="8"/>
      <c r="J16" s="8"/>
      <c r="K16" s="19">
        <f>IF($B$11=5,0,1800)</f>
        <v>1800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v>
      </c>
      <c r="B18" s="80" t="str">
        <f>IF($B$11=5,D18*F18," ")</f>
        <v xml:space="preserve"> </v>
      </c>
      <c r="C18" s="83" t="s">
        <v>70</v>
      </c>
      <c r="D18" s="82">
        <v>75</v>
      </c>
      <c r="E18" s="84" t="s">
        <v>71</v>
      </c>
      <c r="F18" s="81">
        <v>30</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LP Gas</v>
      </c>
      <c r="K21" s="48" t="s">
        <v>79</v>
      </c>
      <c r="L21" s="111"/>
      <c r="M21" s="3"/>
      <c r="U21" s="6"/>
      <c r="V21" s="7" t="s">
        <v>50</v>
      </c>
      <c r="W21" s="8">
        <v>4</v>
      </c>
      <c r="X21" s="8">
        <v>6.89</v>
      </c>
      <c r="Y21" s="8" t="s">
        <v>36</v>
      </c>
      <c r="Z21" s="6" t="s">
        <v>54</v>
      </c>
    </row>
    <row r="22" spans="1:26">
      <c r="A22" s="58" t="s">
        <v>16</v>
      </c>
      <c r="B22" s="54">
        <v>16500</v>
      </c>
      <c r="C22" s="60">
        <v>25</v>
      </c>
      <c r="D22" s="61">
        <f>B22*0.05*(-1)</f>
        <v>-825</v>
      </c>
      <c r="E22" s="49">
        <f>IF(B22&gt;0,((B22+D22)/2*$B$15/100),0)</f>
        <v>391.875</v>
      </c>
      <c r="F22" s="49">
        <f>B22*0.01</f>
        <v>165</v>
      </c>
      <c r="G22" s="49">
        <f t="shared" ref="G22:G27" si="0">(B22-D22)/C22</f>
        <v>693</v>
      </c>
      <c r="H22" s="50">
        <f>(($B$7*$B$10)/120000)*$B22</f>
        <v>257.8125</v>
      </c>
      <c r="I22" s="50">
        <f>IF(B22=0,0,$B$7*$B$10*$B$13*0.001)</f>
        <v>30</v>
      </c>
      <c r="J22" s="88" t="str">
        <f>LOOKUP($B$11,W18:W22,Y18:Y22)</f>
        <v>Gallons</v>
      </c>
      <c r="K22" s="109" t="str">
        <f>IF($B$11=5,"kW+Hookup"," ")</f>
        <v xml:space="preserve"> </v>
      </c>
      <c r="L22" s="66">
        <f>SUM(E$22:K$22)</f>
        <v>1537.6875</v>
      </c>
      <c r="M22" s="3"/>
      <c r="U22" s="6"/>
      <c r="V22" s="7" t="s">
        <v>37</v>
      </c>
      <c r="W22" s="8">
        <v>5</v>
      </c>
      <c r="X22" s="8">
        <v>0.88500000000000001</v>
      </c>
      <c r="Y22" s="8" t="s">
        <v>51</v>
      </c>
      <c r="Z22" s="6" t="s">
        <v>55</v>
      </c>
    </row>
    <row r="23" spans="1:26">
      <c r="A23" s="58" t="s">
        <v>15</v>
      </c>
      <c r="B23" s="54">
        <v>11163</v>
      </c>
      <c r="C23" s="60">
        <v>18</v>
      </c>
      <c r="D23" s="61">
        <f>B23*0.05</f>
        <v>558.15</v>
      </c>
      <c r="E23" s="49">
        <f t="shared" ref="E23:E28" si="1">IF(B23&gt;0,((B23+D23)/2*$B$15/100),0)</f>
        <v>293.02875</v>
      </c>
      <c r="F23" s="49">
        <f>B23*0.01</f>
        <v>111.63</v>
      </c>
      <c r="G23" s="49">
        <f t="shared" si="0"/>
        <v>589.1583333333333</v>
      </c>
      <c r="H23" s="50">
        <f>(($B$7*$B$10)/75000)*$B23+$B$7*$B$10/65*$B$16</f>
        <v>408.88269230769231</v>
      </c>
      <c r="I23" s="50">
        <f>IF(B23=0,0,$B$7*$B$10*$B$13*0.004)</f>
        <v>120</v>
      </c>
      <c r="J23" s="50"/>
      <c r="K23" s="107" t="str">
        <f>IF($B$11=5,"$/kW-h"," ")</f>
        <v xml:space="preserve"> </v>
      </c>
      <c r="L23" s="66">
        <f>SUM(E23:K23)</f>
        <v>1522.6997756410256</v>
      </c>
      <c r="M23" s="3"/>
      <c r="U23" s="6"/>
      <c r="V23" s="12"/>
      <c r="W23" s="9"/>
      <c r="X23" s="8"/>
      <c r="Y23" s="11"/>
      <c r="Z23" s="6"/>
    </row>
    <row r="24" spans="1:26">
      <c r="A24" s="58" t="s">
        <v>9</v>
      </c>
      <c r="B24" s="55">
        <v>2800</v>
      </c>
      <c r="C24" s="60">
        <v>15</v>
      </c>
      <c r="D24" s="61">
        <f>B24*0.05</f>
        <v>140</v>
      </c>
      <c r="E24" s="49">
        <f t="shared" si="1"/>
        <v>73.5</v>
      </c>
      <c r="F24" s="49">
        <f>B24*0.01</f>
        <v>28</v>
      </c>
      <c r="G24" s="49">
        <f t="shared" si="0"/>
        <v>177.33333333333334</v>
      </c>
      <c r="H24" s="50">
        <f>(($B$7*$B$10)/120000)*$B24</f>
        <v>43.75</v>
      </c>
      <c r="I24" s="50">
        <f>IF(B24=0,0,$B$7*$B$10*$B$13*0.001)</f>
        <v>30</v>
      </c>
      <c r="J24" s="50"/>
      <c r="K24" s="51" t="str">
        <f>IF($B$11=5,K26/J26," ")</f>
        <v xml:space="preserve"> </v>
      </c>
      <c r="L24" s="66">
        <f>SUM(E24:K24)</f>
        <v>352.58333333333337</v>
      </c>
      <c r="M24" s="3"/>
    </row>
    <row r="25" spans="1:26">
      <c r="A25" s="58" t="s">
        <v>23</v>
      </c>
      <c r="B25" s="54">
        <v>1100</v>
      </c>
      <c r="C25" s="60">
        <v>25</v>
      </c>
      <c r="D25" s="61">
        <f>B25*0.05</f>
        <v>55</v>
      </c>
      <c r="E25" s="49">
        <f t="shared" si="1"/>
        <v>28.875</v>
      </c>
      <c r="F25" s="49">
        <f>B25*0.01</f>
        <v>11</v>
      </c>
      <c r="G25" s="49">
        <f t="shared" si="0"/>
        <v>41.8</v>
      </c>
      <c r="H25" s="50">
        <f>(($B$7*$B$10)/100000)*$B25</f>
        <v>20.625</v>
      </c>
      <c r="I25" s="50">
        <f>IF(B25=0,0,$B$7*$B$10*$B$13*0.001)</f>
        <v>30</v>
      </c>
      <c r="J25" s="50"/>
      <c r="K25" s="51"/>
      <c r="L25" s="66">
        <f>SUM(E25:K25)</f>
        <v>132.30000000000001</v>
      </c>
      <c r="M25" s="3"/>
    </row>
    <row r="26" spans="1:26">
      <c r="A26" s="58" t="str">
        <f>K15</f>
        <v>LP Gas Engine</v>
      </c>
      <c r="B26" s="54">
        <v>4800</v>
      </c>
      <c r="C26" s="62">
        <f>$K$14</f>
        <v>6</v>
      </c>
      <c r="D26" s="61">
        <f>B26*0.05</f>
        <v>240</v>
      </c>
      <c r="E26" s="49">
        <f t="shared" si="1"/>
        <v>126</v>
      </c>
      <c r="F26" s="49">
        <f>B26*0.02</f>
        <v>96</v>
      </c>
      <c r="G26" s="49">
        <f t="shared" si="0"/>
        <v>760</v>
      </c>
      <c r="H26" s="50">
        <f>(($B$7*$B$10)/50000)*$B26+(K26*0.05)</f>
        <v>896.67755887979956</v>
      </c>
      <c r="I26" s="50">
        <f>IF(B26=0,0,IF($B$11=4,$B$7*$B$10*$B$13*0.0025,$B$7*$B$10*$B$13*0.015))</f>
        <v>75</v>
      </c>
      <c r="J26" s="87">
        <f>(((($B$9*2.31+$B$8)*450*$B$10)*$B$7/(3960))/$K$12)</f>
        <v>7543.9743039978894</v>
      </c>
      <c r="K26" s="50">
        <f>IF($B$11=5,+$B$18+((($B$9*2.31+$B$8)*450*$B$10*$B$12)/(3960*$K$12))*B7,((($B$9*2.31+$B$8)*450*$B$10*$B$12)/(3960*$K$12))*$B$7)</f>
        <v>14333.551177595989</v>
      </c>
      <c r="L26" s="66">
        <f>SUM(E26:I26)+K26</f>
        <v>16287.228736475789</v>
      </c>
      <c r="M26" s="3"/>
    </row>
    <row r="27" spans="1:26">
      <c r="A27" s="58" t="str">
        <f>E14</f>
        <v>Gated Pipe</v>
      </c>
      <c r="B27" s="54">
        <v>7700</v>
      </c>
      <c r="C27" s="62">
        <f>$E$13</f>
        <v>25</v>
      </c>
      <c r="D27" s="61">
        <f>B27*0.05</f>
        <v>385</v>
      </c>
      <c r="E27" s="49">
        <f t="shared" si="1"/>
        <v>202.125</v>
      </c>
      <c r="F27" s="49">
        <f>IF($B$6=1,$B27*0.02,IF($B$6=2,$B27*0.01,IF($B$6=3,$B27*0.01,$B27*0.005)))</f>
        <v>77</v>
      </c>
      <c r="G27" s="49">
        <f t="shared" si="0"/>
        <v>292.60000000000002</v>
      </c>
      <c r="H27" s="50">
        <f>IF($B$6=1,$B$7*$B$10/40000*$B27,IF($B$6=2,$B$7*$B$10/50000*$B27,IF($B$6=3,$B$7*$B$10/40000*$B27,IF($B$6=4,$B$7*$B$10/50000*$B27+$B$7*2,$B$7*$B$10/125000*$B27))))</f>
        <v>288.75</v>
      </c>
      <c r="I27" s="50">
        <f>IF(B27=0,0,$B$7*$B$10*$B$13/100*$E$12)</f>
        <v>1500</v>
      </c>
      <c r="J27" s="50"/>
      <c r="K27" s="50">
        <f>IF($B$6=1,($B$7*$B$10)*0.66/$K$12*$B$12,0)</f>
        <v>0</v>
      </c>
      <c r="L27" s="66">
        <f>SUM(E27:K27)</f>
        <v>2360.4749999999999</v>
      </c>
      <c r="M27" s="3"/>
    </row>
    <row r="28" spans="1:26">
      <c r="A28" s="73" t="str">
        <f>IF($B$6=2,"Reuse? (20' lift &amp; 20% reuse)",IF($B$6=3,"Reuse? (Assume 10%)"," "))</f>
        <v>Reuse? (20' lift &amp; 20% reuse)</v>
      </c>
      <c r="B28" s="54">
        <v>12000</v>
      </c>
      <c r="C28" s="56">
        <f>IF($B$6=2,25,"  ")</f>
        <v>25</v>
      </c>
      <c r="D28" s="61">
        <f>IF(B6=2,B28*0.05,0)</f>
        <v>600</v>
      </c>
      <c r="E28" s="49">
        <f t="shared" si="1"/>
        <v>315</v>
      </c>
      <c r="F28" s="49">
        <f>IF(B6=2,B28*0.02,0)</f>
        <v>240</v>
      </c>
      <c r="G28" s="49">
        <f>IF(B6=2,(B28-D28)/C28,0)</f>
        <v>456</v>
      </c>
      <c r="H28" s="50">
        <f>IF(B6=2,(($B$7*$B$10)/40000)*$B28,0)</f>
        <v>562.5</v>
      </c>
      <c r="I28" s="50">
        <f>IF(B6=2,IF(B28=0,0,$B$7*$B$10*$B$13*0.02),0)</f>
        <v>600</v>
      </c>
      <c r="J28" s="87">
        <f>IF($B$6=2,IF($B$28=0,0,IF($B$6=2,((($B$9*2.31+20)*450*$B$10*0.2)/(3960*$K$12))*$B$7,((($B$9*2.31+20)*450*$B$10/10*$B$12)/(3960*$K$12))*$B$7)),0)</f>
        <v>766.61251484364698</v>
      </c>
      <c r="K28" s="50">
        <f>IF($B$6=2,IF($B$28=0,0,IF($B$6=2,((($B$9*2.31+20)*450*$B$10/5*$B$12)/(3960*$K$12))*$B$7,((($B$9*2.31+20)*450*$B$10/10*$B$12)/(3960*$K$12))*$B$7)),0)</f>
        <v>1456.5637782029294</v>
      </c>
      <c r="L28" s="66">
        <f>SUM(E28:K28)</f>
        <v>4396.6762930465757</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2500</v>
      </c>
      <c r="G30" s="52"/>
      <c r="H30" s="53"/>
      <c r="I30" s="53"/>
      <c r="J30" s="53"/>
      <c r="K30" s="50"/>
      <c r="L30" s="66">
        <f>F30</f>
        <v>2500</v>
      </c>
      <c r="M30" s="3"/>
    </row>
    <row r="31" spans="1:26">
      <c r="A31" s="58" t="s">
        <v>29</v>
      </c>
      <c r="B31" s="61">
        <f>SUM(B22:B29)</f>
        <v>56063</v>
      </c>
      <c r="C31" s="61"/>
      <c r="D31" s="61">
        <f t="shared" ref="D31:I31" si="2">SUM(D22:D29)</f>
        <v>1153.1500000000001</v>
      </c>
      <c r="E31" s="49">
        <f t="shared" si="2"/>
        <v>1430.4037499999999</v>
      </c>
      <c r="F31" s="49">
        <f t="shared" si="2"/>
        <v>728.63</v>
      </c>
      <c r="G31" s="49">
        <f t="shared" si="2"/>
        <v>3009.8916666666664</v>
      </c>
      <c r="H31" s="50">
        <f t="shared" si="2"/>
        <v>2478.9977511874918</v>
      </c>
      <c r="I31" s="50">
        <f t="shared" si="2"/>
        <v>2385</v>
      </c>
      <c r="J31" s="50"/>
      <c r="K31" s="50">
        <f>SUM(K22:K29)</f>
        <v>15790.114955798919</v>
      </c>
      <c r="L31" s="66">
        <f>SUM(L22:L30)</f>
        <v>29089.650638496722</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7668.9254166666669</v>
      </c>
      <c r="H35" s="29"/>
      <c r="I35" s="44">
        <f>SUM(H22:H28)+SUM(I22:I28)+SUM(K22:K28)+L29</f>
        <v>20654.112706986409</v>
      </c>
      <c r="J35" s="44"/>
      <c r="K35" s="40"/>
      <c r="L35" s="63">
        <f>G35+I35</f>
        <v>28323.038123653074</v>
      </c>
      <c r="M35" s="3"/>
    </row>
    <row r="36" spans="1:13">
      <c r="A36" s="85" t="s">
        <v>66</v>
      </c>
      <c r="B36" s="3"/>
      <c r="C36" s="3"/>
      <c r="D36" s="3"/>
      <c r="E36" s="101"/>
      <c r="F36" s="77" t="s">
        <v>3</v>
      </c>
      <c r="G36" s="41">
        <f>G35/$B$7</f>
        <v>61.351403333333337</v>
      </c>
      <c r="H36" s="29"/>
      <c r="I36" s="42">
        <f>I35/$B$7</f>
        <v>165.23290165589128</v>
      </c>
      <c r="J36" s="42"/>
      <c r="K36" s="40"/>
      <c r="L36" s="64">
        <f>G36+I36</f>
        <v>226.58430498922462</v>
      </c>
      <c r="M36" s="3"/>
    </row>
    <row r="37" spans="1:13" ht="13.5" thickBot="1">
      <c r="A37" s="100" t="s">
        <v>73</v>
      </c>
      <c r="B37" s="3"/>
      <c r="C37" s="3"/>
      <c r="D37" s="3"/>
      <c r="E37" s="101"/>
      <c r="F37" s="78" t="s">
        <v>0</v>
      </c>
      <c r="G37" s="36">
        <f>G35/($B$10*$B$7)</f>
        <v>4.0900935555555558</v>
      </c>
      <c r="H37" s="37"/>
      <c r="I37" s="38">
        <f>I35/($B$10*$B$7)</f>
        <v>11.015526777059417</v>
      </c>
      <c r="J37" s="38"/>
      <c r="K37" s="39"/>
      <c r="L37" s="65">
        <f>G37+I37</f>
        <v>15.105620332614972</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11" priority="1" stopIfTrue="1">
      <formula>$B$11=5</formula>
    </cfRule>
    <cfRule type="expression" dxfId="10" priority="2" stopIfTrue="1">
      <formula>$B$11&lt;5</formula>
    </cfRule>
  </conditionalFormatting>
  <conditionalFormatting sqref="C18 E18">
    <cfRule type="expression" dxfId="9" priority="3" stopIfTrue="1">
      <formula>$B$11=5</formula>
    </cfRule>
    <cfRule type="expression" dxfId="8" priority="4" stopIfTrue="1">
      <formula>$B$11&lt;5</formula>
    </cfRule>
  </conditionalFormatting>
  <conditionalFormatting sqref="B18">
    <cfRule type="expression" dxfId="7" priority="5" stopIfTrue="1">
      <formula>$B$11=5</formula>
    </cfRule>
    <cfRule type="expression" dxfId="6" priority="6" stopIfTrue="1">
      <formula>$B$11&lt;5</formula>
    </cfRule>
  </conditionalFormatting>
  <pageMargins left="0.25" right="0.25" top="0.5" bottom="0.5" header="0" footer="0"/>
  <pageSetup orientation="landscape" r:id="rId1"/>
  <headerFooter alignWithMargins="0"/>
  <legacyDrawing r:id="rId2"/>
</worksheet>
</file>

<file path=xl/worksheets/sheet8.xml><?xml version="1.0" encoding="utf-8"?>
<worksheet xmlns="http://schemas.openxmlformats.org/spreadsheetml/2006/main" xmlns:r="http://schemas.openxmlformats.org/officeDocument/2006/relationships">
  <dimension ref="A1:Z47"/>
  <sheetViews>
    <sheetView workbookViewId="0">
      <selection activeCell="E22" sqref="E22"/>
    </sheetView>
  </sheetViews>
  <sheetFormatPr defaultRowHeight="12.75"/>
  <cols>
    <col min="1" max="1" width="25.5703125" customWidth="1"/>
    <col min="2" max="2" width="10.7109375" customWidth="1"/>
    <col min="3" max="3" width="6.140625" customWidth="1"/>
    <col min="4" max="4" width="8.5703125" customWidth="1"/>
    <col min="5" max="5" width="8.85546875" customWidth="1"/>
    <col min="6" max="6" width="14.42578125" customWidth="1"/>
    <col min="7" max="7" width="11.7109375" customWidth="1"/>
    <col min="8" max="8" width="8.85546875" customWidth="1"/>
    <col min="9" max="9" width="11.5703125" customWidth="1"/>
    <col min="10" max="10" width="9.28515625" customWidth="1"/>
    <col min="11" max="12" width="10.42578125" customWidth="1"/>
    <col min="22" max="22" width="11.42578125" customWidth="1"/>
  </cols>
  <sheetData>
    <row r="1" spans="1:26" ht="24.75">
      <c r="A1" s="121" t="s">
        <v>62</v>
      </c>
      <c r="B1" s="122"/>
      <c r="C1" s="122"/>
      <c r="D1" s="122"/>
      <c r="E1" s="122"/>
      <c r="F1" s="122"/>
      <c r="G1" s="122"/>
      <c r="H1" s="122"/>
      <c r="I1" s="122"/>
      <c r="J1" s="122"/>
      <c r="K1" s="122"/>
      <c r="L1" s="122"/>
    </row>
    <row r="2" spans="1:26" ht="15.75">
      <c r="A2" s="114" t="s">
        <v>80</v>
      </c>
      <c r="B2" s="115"/>
      <c r="C2" s="115"/>
      <c r="E2" t="s">
        <v>82</v>
      </c>
    </row>
    <row r="3" spans="1:26" ht="15.75">
      <c r="A3" s="2"/>
    </row>
    <row r="4" spans="1:26">
      <c r="U4" s="6"/>
      <c r="V4" s="6"/>
      <c r="W4" s="6"/>
      <c r="X4" s="6"/>
      <c r="Y4" s="6"/>
      <c r="Z4" s="6"/>
    </row>
    <row r="5" spans="1:26" ht="13.5" thickBot="1">
      <c r="A5" s="3"/>
      <c r="B5" s="3"/>
      <c r="C5" s="3"/>
      <c r="D5" s="3"/>
      <c r="E5" s="3"/>
      <c r="F5" s="3"/>
      <c r="G5" s="3"/>
      <c r="H5" s="3"/>
      <c r="I5" s="3"/>
      <c r="J5" s="3"/>
      <c r="K5" s="3"/>
      <c r="L5" s="3"/>
      <c r="U5" s="6"/>
      <c r="V5" s="118" t="s">
        <v>43</v>
      </c>
      <c r="W5" s="118"/>
      <c r="X5" s="118"/>
      <c r="Y5" s="118"/>
      <c r="Z5" s="6"/>
    </row>
    <row r="6" spans="1:26" ht="18" customHeight="1">
      <c r="A6" s="67" t="s">
        <v>49</v>
      </c>
      <c r="B6" s="68">
        <v>2</v>
      </c>
      <c r="C6" s="13"/>
      <c r="D6" s="24"/>
      <c r="E6" s="119" t="s">
        <v>57</v>
      </c>
      <c r="F6" s="119"/>
      <c r="G6" s="119"/>
      <c r="H6" s="119"/>
      <c r="I6" s="120"/>
      <c r="J6" s="120"/>
      <c r="K6" s="120"/>
      <c r="L6" s="25"/>
      <c r="M6" s="3"/>
      <c r="U6" s="6"/>
      <c r="V6" s="7" t="s">
        <v>44</v>
      </c>
      <c r="W6" s="8">
        <v>1</v>
      </c>
      <c r="X6" s="6"/>
      <c r="Y6" s="6"/>
      <c r="Z6" s="6"/>
    </row>
    <row r="7" spans="1:26" ht="15">
      <c r="A7" s="67" t="s">
        <v>1</v>
      </c>
      <c r="B7" s="68">
        <v>125</v>
      </c>
      <c r="C7" s="3"/>
      <c r="D7" s="26"/>
      <c r="E7" s="112" t="s">
        <v>56</v>
      </c>
      <c r="F7" s="112"/>
      <c r="G7" s="112"/>
      <c r="H7" s="112"/>
      <c r="I7" s="113"/>
      <c r="J7" s="113"/>
      <c r="K7" s="113"/>
      <c r="L7" s="17"/>
      <c r="M7" s="3"/>
      <c r="U7" s="6"/>
      <c r="V7" s="7" t="s">
        <v>45</v>
      </c>
      <c r="W7" s="8">
        <v>2</v>
      </c>
      <c r="X7" s="6"/>
      <c r="Y7" s="6"/>
      <c r="Z7" s="6"/>
    </row>
    <row r="8" spans="1:26">
      <c r="A8" s="67" t="s">
        <v>24</v>
      </c>
      <c r="B8" s="68">
        <v>140</v>
      </c>
      <c r="C8" s="3"/>
      <c r="D8" s="8"/>
      <c r="E8" s="8"/>
      <c r="F8" s="8"/>
      <c r="G8" s="8"/>
      <c r="H8" s="8"/>
      <c r="I8" s="8"/>
      <c r="J8" s="8"/>
      <c r="K8" s="8"/>
      <c r="L8" s="17"/>
      <c r="M8" s="3"/>
      <c r="U8" s="6"/>
      <c r="V8" s="7" t="s">
        <v>46</v>
      </c>
      <c r="W8" s="8">
        <v>3</v>
      </c>
      <c r="X8" s="6"/>
      <c r="Y8" s="6"/>
      <c r="Z8" s="6"/>
    </row>
    <row r="9" spans="1:26">
      <c r="A9" s="67" t="s">
        <v>28</v>
      </c>
      <c r="B9" s="68">
        <v>45</v>
      </c>
      <c r="C9" s="3"/>
      <c r="D9" s="8"/>
      <c r="E9" s="8"/>
      <c r="F9" s="8"/>
      <c r="G9" s="8"/>
      <c r="H9" s="8"/>
      <c r="I9" s="8"/>
      <c r="J9" s="8"/>
      <c r="K9" s="8"/>
      <c r="L9" s="17"/>
      <c r="M9" s="3"/>
      <c r="U9" s="6"/>
      <c r="V9" s="7" t="s">
        <v>47</v>
      </c>
      <c r="W9" s="8">
        <v>4</v>
      </c>
      <c r="X9" s="6"/>
      <c r="Y9" s="6"/>
      <c r="Z9" s="6"/>
    </row>
    <row r="10" spans="1:26" ht="15">
      <c r="A10" s="67" t="s">
        <v>10</v>
      </c>
      <c r="B10" s="68">
        <v>15</v>
      </c>
      <c r="C10" s="3"/>
      <c r="D10" s="123" t="s">
        <v>61</v>
      </c>
      <c r="E10" s="118"/>
      <c r="F10" s="118"/>
      <c r="G10" s="118"/>
      <c r="H10" s="118"/>
      <c r="I10" s="118"/>
      <c r="J10" s="118"/>
      <c r="K10" s="118"/>
      <c r="L10" s="124"/>
      <c r="M10" s="3"/>
      <c r="U10" s="6"/>
      <c r="V10" s="7" t="s">
        <v>48</v>
      </c>
      <c r="W10" s="8">
        <v>5</v>
      </c>
      <c r="X10" s="6"/>
      <c r="Y10" s="6"/>
      <c r="Z10" s="6"/>
    </row>
    <row r="11" spans="1:26" ht="17.25" customHeight="1">
      <c r="A11" s="67" t="s">
        <v>60</v>
      </c>
      <c r="B11" s="68">
        <v>5</v>
      </c>
      <c r="C11" s="3"/>
      <c r="D11" s="14"/>
      <c r="F11" s="14"/>
      <c r="G11" s="26"/>
      <c r="H11" s="14"/>
      <c r="I11" s="14"/>
      <c r="J11" s="14"/>
      <c r="K11" s="18"/>
      <c r="L11" s="17"/>
      <c r="M11" s="3"/>
      <c r="N11" s="3"/>
      <c r="U11" s="6"/>
      <c r="V11" s="6"/>
      <c r="W11" s="8"/>
      <c r="X11" s="6"/>
      <c r="Y11" s="6"/>
      <c r="Z11" s="6"/>
    </row>
    <row r="12" spans="1:26" ht="15" customHeight="1">
      <c r="A12" s="89" t="str">
        <f>LOOKUP($B$11,$W$18:$W$22,$Z$18:$Z$22)</f>
        <v>$/kW-h</v>
      </c>
      <c r="B12" s="69">
        <v>0.08</v>
      </c>
      <c r="C12" s="3"/>
      <c r="D12" s="20" t="s">
        <v>18</v>
      </c>
      <c r="E12" s="19">
        <f>IF($B$6=1,3,IF($B$6=2,5,IF($B$6=3,5,IF($B$6=4,7,IF($B$6=5,2,0)))))</f>
        <v>5</v>
      </c>
      <c r="F12" s="19"/>
      <c r="G12" s="19"/>
      <c r="H12" s="19"/>
      <c r="I12" s="20" t="s">
        <v>76</v>
      </c>
      <c r="J12" s="20"/>
      <c r="K12" s="21">
        <f>IF($B$11=1,12.5,IF($B$11=2,61.7,IF($B$11=3, 6.67,IF($B$11=4,6.89,IF($B$11=5,0.885,0)))))</f>
        <v>0.88500000000000001</v>
      </c>
      <c r="L12" s="17"/>
      <c r="M12" s="4"/>
      <c r="N12" s="3"/>
      <c r="O12" s="3"/>
      <c r="U12" s="6"/>
      <c r="V12" s="9"/>
      <c r="W12" s="9"/>
      <c r="X12" s="6"/>
      <c r="Y12" s="6"/>
      <c r="Z12" s="6"/>
    </row>
    <row r="13" spans="1:26">
      <c r="A13" s="70" t="s">
        <v>17</v>
      </c>
      <c r="B13" s="71">
        <v>16</v>
      </c>
      <c r="C13" s="3"/>
      <c r="D13" s="20" t="s">
        <v>27</v>
      </c>
      <c r="E13" s="19">
        <f>IF($B$6=1,20,IF($B$6=2,25,IF($B$6=3,23,IF($B$6=4,25,IF($B$6=5,10,0)))))</f>
        <v>25</v>
      </c>
      <c r="F13" s="19"/>
      <c r="G13" s="19"/>
      <c r="H13" s="19"/>
      <c r="I13" s="20" t="s">
        <v>8</v>
      </c>
      <c r="J13" s="20"/>
      <c r="K13" s="19">
        <f>IF($B$11=1,0.0833,IF($B$11=2,0.1667,IF($B$11=3,0.1667,IF($B$11=4,0.1667,IF($B$11=5,0.05,0)))))</f>
        <v>0.05</v>
      </c>
      <c r="L13" s="17"/>
      <c r="M13" s="3"/>
      <c r="N13" s="3"/>
      <c r="U13" s="6"/>
      <c r="V13" s="6"/>
      <c r="W13" s="6"/>
      <c r="X13" s="6"/>
      <c r="Y13" s="6"/>
      <c r="Z13" s="6"/>
    </row>
    <row r="14" spans="1:26">
      <c r="A14" s="67" t="s">
        <v>14</v>
      </c>
      <c r="B14" s="68">
        <v>0</v>
      </c>
      <c r="C14" s="3"/>
      <c r="D14" s="20" t="s">
        <v>6</v>
      </c>
      <c r="E14" s="19" t="str">
        <f>IF($B$6=1,"Center Pivot System",IF($B$6=2,"Gated Pipe",IF($B$6=3,"Surge Valve System",IF($B$6=4,"Ditch &amp; Siphon Tubes",IF($B$6=5,"Drip System",0)))))</f>
        <v>Gated Pipe</v>
      </c>
      <c r="F14" s="19"/>
      <c r="G14" s="19"/>
      <c r="H14" s="19"/>
      <c r="I14" s="20" t="s">
        <v>78</v>
      </c>
      <c r="J14" s="20"/>
      <c r="K14" s="19">
        <f>IF($B$11=1,12,IF($B$11=2,6,IF($B$11=3,6,IF($B$11=4,6,IF($B$11=5,30,0)))))</f>
        <v>30</v>
      </c>
      <c r="L14" s="17"/>
      <c r="M14" s="3"/>
      <c r="U14" s="6"/>
      <c r="V14" s="6"/>
      <c r="W14" s="6"/>
      <c r="X14" s="6"/>
      <c r="Y14" s="6"/>
      <c r="Z14" s="6"/>
    </row>
    <row r="15" spans="1:26">
      <c r="A15" s="67" t="s">
        <v>26</v>
      </c>
      <c r="B15" s="68">
        <v>5</v>
      </c>
      <c r="C15" s="3"/>
      <c r="D15" s="19"/>
      <c r="E15" s="19"/>
      <c r="F15" s="19"/>
      <c r="G15" s="19"/>
      <c r="H15" s="19"/>
      <c r="I15" s="20" t="s">
        <v>77</v>
      </c>
      <c r="J15" s="20"/>
      <c r="K15" s="19" t="str">
        <f>IF($B$11=1,"Diesel Engine &amp; Tank",IF($B$11=2,"Nat.Gas Engine",IF($B$11=3,"Nat.Gas Engine",IF($B$11=4,"LP Gas Engine",IF($B$11=5,"Electric Motor&amp; Switches")))))</f>
        <v>Electric Motor&amp; Switches</v>
      </c>
      <c r="L15" s="17"/>
      <c r="M15" s="3"/>
      <c r="U15" s="6"/>
      <c r="V15" s="6"/>
      <c r="W15" s="6"/>
      <c r="X15" s="6"/>
      <c r="Y15" s="6"/>
      <c r="Z15" s="6"/>
    </row>
    <row r="16" spans="1:26">
      <c r="A16" s="67" t="s">
        <v>7</v>
      </c>
      <c r="B16" s="71">
        <v>4.5</v>
      </c>
      <c r="C16" s="3"/>
      <c r="D16" s="3"/>
      <c r="E16" s="3"/>
      <c r="F16" s="3"/>
      <c r="G16" s="3"/>
      <c r="H16" s="8"/>
      <c r="I16" s="8"/>
      <c r="J16" s="8"/>
      <c r="K16" s="19">
        <f>IF($B$11=5,0,1800)</f>
        <v>0</v>
      </c>
      <c r="L16" s="17"/>
      <c r="M16" s="3"/>
      <c r="U16" s="6"/>
      <c r="V16" s="6"/>
      <c r="W16" s="6"/>
      <c r="X16" s="6"/>
      <c r="Y16" s="6"/>
      <c r="Z16" s="6"/>
    </row>
    <row r="17" spans="1:26">
      <c r="A17" s="67" t="s">
        <v>11</v>
      </c>
      <c r="B17" s="72"/>
      <c r="C17" s="3"/>
      <c r="D17" s="15"/>
      <c r="E17" s="16">
        <v>20</v>
      </c>
      <c r="F17" s="3"/>
      <c r="G17" s="3"/>
      <c r="H17" s="8"/>
      <c r="I17" s="8"/>
      <c r="J17" s="8"/>
      <c r="K17" s="8"/>
      <c r="L17" s="17"/>
      <c r="M17" s="3"/>
      <c r="U17" s="6"/>
      <c r="V17" s="117" t="s">
        <v>42</v>
      </c>
      <c r="W17" s="117"/>
      <c r="X17" s="117"/>
      <c r="Y17" s="117"/>
      <c r="Z17" s="6"/>
    </row>
    <row r="18" spans="1:26" ht="13.5" thickBot="1">
      <c r="A18" s="74" t="str">
        <f>IF($B$11=5," Annual Elec Hookup Charge"," ")</f>
        <v xml:space="preserve"> Annual Elec Hookup Charge</v>
      </c>
      <c r="B18" s="80">
        <f>IF($B$11=5,D18*F18," ")</f>
        <v>1035</v>
      </c>
      <c r="C18" s="83" t="s">
        <v>70</v>
      </c>
      <c r="D18" s="82">
        <v>90</v>
      </c>
      <c r="E18" s="84" t="s">
        <v>71</v>
      </c>
      <c r="F18" s="81">
        <v>11.5</v>
      </c>
      <c r="G18" s="79"/>
      <c r="H18" s="22"/>
      <c r="I18" s="22"/>
      <c r="J18" s="22"/>
      <c r="K18" s="22"/>
      <c r="L18" s="23"/>
      <c r="M18" s="3"/>
      <c r="U18" s="6"/>
      <c r="V18" s="10" t="s">
        <v>35</v>
      </c>
      <c r="W18" s="8">
        <v>1</v>
      </c>
      <c r="X18" s="8">
        <v>12.5</v>
      </c>
      <c r="Y18" s="11" t="s">
        <v>36</v>
      </c>
      <c r="Z18" s="6" t="s">
        <v>54</v>
      </c>
    </row>
    <row r="19" spans="1:26" ht="13.5" thickBot="1">
      <c r="A19" s="3"/>
      <c r="B19" s="3"/>
      <c r="C19" s="3"/>
      <c r="D19" s="3"/>
      <c r="E19" s="3"/>
      <c r="F19" s="3"/>
      <c r="G19" s="3"/>
      <c r="H19" s="3"/>
      <c r="I19" s="3"/>
      <c r="J19" s="3"/>
      <c r="K19" s="3"/>
      <c r="L19" s="3"/>
      <c r="U19" s="6"/>
      <c r="V19" s="7" t="s">
        <v>38</v>
      </c>
      <c r="W19" s="8">
        <v>2</v>
      </c>
      <c r="X19" s="8">
        <v>61.7</v>
      </c>
      <c r="Y19" s="8" t="s">
        <v>39</v>
      </c>
      <c r="Z19" s="6" t="s">
        <v>52</v>
      </c>
    </row>
    <row r="20" spans="1:26">
      <c r="A20" s="58" t="s">
        <v>4</v>
      </c>
      <c r="B20" s="57"/>
      <c r="C20" s="57"/>
      <c r="D20" s="58"/>
      <c r="E20" s="45" t="s">
        <v>22</v>
      </c>
      <c r="F20" s="45"/>
      <c r="G20" s="45"/>
      <c r="H20" s="46" t="s">
        <v>21</v>
      </c>
      <c r="I20" s="46"/>
      <c r="J20" s="46"/>
      <c r="K20" s="46"/>
      <c r="L20" s="110" t="s">
        <v>64</v>
      </c>
      <c r="M20" s="3"/>
      <c r="U20" s="6"/>
      <c r="V20" s="7" t="s">
        <v>40</v>
      </c>
      <c r="W20" s="8">
        <v>3</v>
      </c>
      <c r="X20" s="8">
        <v>6.67</v>
      </c>
      <c r="Y20" s="8" t="s">
        <v>41</v>
      </c>
      <c r="Z20" s="6" t="s">
        <v>53</v>
      </c>
    </row>
    <row r="21" spans="1:26" ht="14.25">
      <c r="A21" s="57"/>
      <c r="B21" s="59" t="s">
        <v>12</v>
      </c>
      <c r="C21" s="59" t="s">
        <v>19</v>
      </c>
      <c r="D21" s="59" t="s">
        <v>75</v>
      </c>
      <c r="E21" s="47" t="s">
        <v>25</v>
      </c>
      <c r="F21" s="47" t="s">
        <v>13</v>
      </c>
      <c r="G21" s="47" t="s">
        <v>5</v>
      </c>
      <c r="H21" s="48" t="s">
        <v>63</v>
      </c>
      <c r="I21" s="48" t="s">
        <v>20</v>
      </c>
      <c r="J21" s="88" t="str">
        <f>LOOKUP($B$11,W18:W22,V18:V22)</f>
        <v>Electricity</v>
      </c>
      <c r="K21" s="48" t="s">
        <v>79</v>
      </c>
      <c r="L21" s="111"/>
      <c r="M21" s="3"/>
      <c r="U21" s="6"/>
      <c r="V21" s="7" t="s">
        <v>50</v>
      </c>
      <c r="W21" s="8">
        <v>4</v>
      </c>
      <c r="X21" s="8">
        <v>6.89</v>
      </c>
      <c r="Y21" s="8" t="s">
        <v>36</v>
      </c>
      <c r="Z21" s="6" t="s">
        <v>54</v>
      </c>
    </row>
    <row r="22" spans="1:26">
      <c r="A22" s="58" t="s">
        <v>16</v>
      </c>
      <c r="B22" s="54">
        <v>16500</v>
      </c>
      <c r="C22" s="60">
        <v>25</v>
      </c>
      <c r="D22" s="61">
        <f>B22*0.05*(-1)</f>
        <v>-825</v>
      </c>
      <c r="E22" s="49">
        <f>IF(B22&gt;0,((B22+D22)/2*$B$15/100),0)</f>
        <v>391.875</v>
      </c>
      <c r="F22" s="49">
        <f>B22*0.01</f>
        <v>165</v>
      </c>
      <c r="G22" s="49">
        <f t="shared" ref="G22:G27" si="0">(B22-D22)/C22</f>
        <v>693</v>
      </c>
      <c r="H22" s="50">
        <f>(($B$7*$B$10)/120000)*$B22</f>
        <v>257.8125</v>
      </c>
      <c r="I22" s="50">
        <f>IF(B22=0,0,$B$7*$B$10*$B$13*0.001)</f>
        <v>30</v>
      </c>
      <c r="J22" s="88" t="str">
        <f>LOOKUP($B$11,W18:W22,Y18:Y22)</f>
        <v>Kw-hour</v>
      </c>
      <c r="K22" s="109" t="str">
        <f>IF($B$11=5,"kW+Hookup"," ")</f>
        <v>kW+Hookup</v>
      </c>
      <c r="L22" s="66">
        <f>SUM(E$22:K$22)</f>
        <v>1537.6875</v>
      </c>
      <c r="M22" s="3"/>
      <c r="U22" s="6"/>
      <c r="V22" s="7" t="s">
        <v>37</v>
      </c>
      <c r="W22" s="8">
        <v>5</v>
      </c>
      <c r="X22" s="8">
        <v>0.88500000000000001</v>
      </c>
      <c r="Y22" s="8" t="s">
        <v>51</v>
      </c>
      <c r="Z22" s="6" t="s">
        <v>55</v>
      </c>
    </row>
    <row r="23" spans="1:26">
      <c r="A23" s="58" t="s">
        <v>15</v>
      </c>
      <c r="B23" s="54">
        <v>11163</v>
      </c>
      <c r="C23" s="60">
        <v>18</v>
      </c>
      <c r="D23" s="61">
        <f>B23*0.05</f>
        <v>558.15</v>
      </c>
      <c r="E23" s="49">
        <f t="shared" ref="E23:E28" si="1">IF(B23&gt;0,((B23+D23)/2*$B$15/100),0)</f>
        <v>293.02875</v>
      </c>
      <c r="F23" s="49">
        <f>B23*0.01</f>
        <v>111.63</v>
      </c>
      <c r="G23" s="49">
        <f t="shared" si="0"/>
        <v>589.1583333333333</v>
      </c>
      <c r="H23" s="50">
        <f>(($B$7*$B$10)/75000)*$B23+$B$7*$B$10/65*$B$16</f>
        <v>408.88269230769231</v>
      </c>
      <c r="I23" s="50">
        <f>IF(B23=0,0,$B$7*$B$10*$B$13*0.004)</f>
        <v>120</v>
      </c>
      <c r="J23" s="50"/>
      <c r="K23" s="107" t="str">
        <f>IF($B$11=5,"$/kW-h"," ")</f>
        <v>$/kW-h</v>
      </c>
      <c r="L23" s="66">
        <f>SUM(E23:K23)</f>
        <v>1522.6997756410256</v>
      </c>
      <c r="M23" s="3"/>
      <c r="U23" s="6"/>
      <c r="V23" s="12"/>
      <c r="W23" s="9"/>
      <c r="X23" s="8"/>
      <c r="Y23" s="11"/>
      <c r="Z23" s="6"/>
    </row>
    <row r="24" spans="1:26">
      <c r="A24" s="58" t="s">
        <v>9</v>
      </c>
      <c r="B24" s="55">
        <v>0</v>
      </c>
      <c r="C24" s="60">
        <v>15</v>
      </c>
      <c r="D24" s="61">
        <f>B24*0.05</f>
        <v>0</v>
      </c>
      <c r="E24" s="49">
        <f t="shared" si="1"/>
        <v>0</v>
      </c>
      <c r="F24" s="49">
        <f>B24*0.01</f>
        <v>0</v>
      </c>
      <c r="G24" s="49">
        <f t="shared" si="0"/>
        <v>0</v>
      </c>
      <c r="H24" s="50">
        <f>(($B$7*$B$10)/120000)*$B24</f>
        <v>0</v>
      </c>
      <c r="I24" s="50">
        <f>IF(B24=0,0,$B$7*$B$10*$B$13*0.001)</f>
        <v>0</v>
      </c>
      <c r="J24" s="50"/>
      <c r="K24" s="51">
        <f>IF($B$11=5,K26/J26," ")</f>
        <v>9.7622365238778444E-2</v>
      </c>
      <c r="L24" s="66">
        <f>SUM(E24:K24)</f>
        <v>9.7622365238778444E-2</v>
      </c>
      <c r="M24" s="3"/>
    </row>
    <row r="25" spans="1:26">
      <c r="A25" s="58" t="s">
        <v>23</v>
      </c>
      <c r="B25" s="54">
        <v>1100</v>
      </c>
      <c r="C25" s="60">
        <v>25</v>
      </c>
      <c r="D25" s="61">
        <f>B25*0.05</f>
        <v>55</v>
      </c>
      <c r="E25" s="49">
        <f t="shared" si="1"/>
        <v>28.875</v>
      </c>
      <c r="F25" s="49">
        <f>B25*0.01</f>
        <v>11</v>
      </c>
      <c r="G25" s="49">
        <f t="shared" si="0"/>
        <v>41.8</v>
      </c>
      <c r="H25" s="50">
        <f>(($B$7*$B$10)/100000)*$B25</f>
        <v>20.625</v>
      </c>
      <c r="I25" s="50">
        <f>IF(B25=0,0,$B$7*$B$10*$B$13*0.001)</f>
        <v>30</v>
      </c>
      <c r="J25" s="50"/>
      <c r="K25" s="51"/>
      <c r="L25" s="66">
        <f>SUM(E25:K25)</f>
        <v>132.30000000000001</v>
      </c>
      <c r="M25" s="3"/>
    </row>
    <row r="26" spans="1:26">
      <c r="A26" s="58" t="str">
        <f>K15</f>
        <v>Electric Motor&amp; Switches</v>
      </c>
      <c r="B26" s="54">
        <v>7500</v>
      </c>
      <c r="C26" s="62">
        <f>$K$14</f>
        <v>30</v>
      </c>
      <c r="D26" s="61">
        <f>B26*0.05</f>
        <v>375</v>
      </c>
      <c r="E26" s="49">
        <f t="shared" si="1"/>
        <v>196.875</v>
      </c>
      <c r="F26" s="49">
        <f>B26*0.02</f>
        <v>150</v>
      </c>
      <c r="G26" s="49">
        <f t="shared" si="0"/>
        <v>237.5</v>
      </c>
      <c r="H26" s="50">
        <f>(($B$7*$B$10)/50000)*$B26+(K26*0.05)</f>
        <v>567.9287365177197</v>
      </c>
      <c r="I26" s="50">
        <f>IF(B26=0,0,IF($B$11=4,$B$7*$B$10*$B$13*0.0025,$B$7*$B$10*$B$13*0.015))</f>
        <v>450</v>
      </c>
      <c r="J26" s="87">
        <f>(((($B$9*2.31+$B$8)*450*$B$10)*$B$7/(3960))/$K$12)</f>
        <v>58732.184129429894</v>
      </c>
      <c r="K26" s="50">
        <f>IF($B$11=5,+$B$18+((($B$9*2.31+$B$8)*450*$B$10*$B$12)/(3960*$K$12))*B7,((($B$9*2.31+$B$8)*450*$B$10*$B$12)/(3960*$K$12))*$B$7)</f>
        <v>5733.5747303543922</v>
      </c>
      <c r="L26" s="66">
        <f>SUM(E26:I26)+K26</f>
        <v>7335.8784668721119</v>
      </c>
      <c r="M26" s="3"/>
    </row>
    <row r="27" spans="1:26">
      <c r="A27" s="58" t="str">
        <f>E14</f>
        <v>Gated Pipe</v>
      </c>
      <c r="B27" s="54">
        <v>7700</v>
      </c>
      <c r="C27" s="62">
        <f>$E$13</f>
        <v>25</v>
      </c>
      <c r="D27" s="61">
        <f>B27*0.05</f>
        <v>385</v>
      </c>
      <c r="E27" s="49">
        <f t="shared" si="1"/>
        <v>202.125</v>
      </c>
      <c r="F27" s="49">
        <f>IF($B$6=1,$B27*0.02,IF($B$6=2,$B27*0.01,IF($B$6=3,$B27*0.01,$B27*0.005)))</f>
        <v>77</v>
      </c>
      <c r="G27" s="49">
        <f t="shared" si="0"/>
        <v>292.60000000000002</v>
      </c>
      <c r="H27" s="50">
        <f>IF($B$6=1,$B$7*$B$10/40000*$B27,IF($B$6=2,$B$7*$B$10/50000*$B27,IF($B$6=3,$B$7*$B$10/40000*$B27,IF($B$6=4,$B$7*$B$10/50000*$B27+$B$7*2,$B$7*$B$10/125000*$B27))))</f>
        <v>288.75</v>
      </c>
      <c r="I27" s="50">
        <f>IF(B27=0,0,$B$7*$B$10*$B$13/100*$E$12)</f>
        <v>1500</v>
      </c>
      <c r="J27" s="50"/>
      <c r="K27" s="50">
        <f>IF($B$6=1,($B$7*$B$10)*0.66/$K$12*$B$12,0)</f>
        <v>0</v>
      </c>
      <c r="L27" s="66">
        <f>SUM(E27:K27)</f>
        <v>2360.4749999999999</v>
      </c>
      <c r="M27" s="3"/>
    </row>
    <row r="28" spans="1:26">
      <c r="A28" s="73" t="str">
        <f>IF($B$6=2,"Reuse? (20' lift &amp; 20% reuse)",IF($B$6=3,"Reuse? (Assume 10%)"," "))</f>
        <v>Reuse? (20' lift &amp; 20% reuse)</v>
      </c>
      <c r="B28" s="54">
        <v>12000</v>
      </c>
      <c r="C28" s="56">
        <f>IF($B$6=2,25,"  ")</f>
        <v>25</v>
      </c>
      <c r="D28" s="61">
        <f>IF(B6=2,B28*0.05,0)</f>
        <v>600</v>
      </c>
      <c r="E28" s="49">
        <f t="shared" si="1"/>
        <v>315</v>
      </c>
      <c r="F28" s="49">
        <f>IF(B6=2,B28*0.02,0)</f>
        <v>240</v>
      </c>
      <c r="G28" s="49">
        <f>IF(B6=2,(B28-D28)/C28,0)</f>
        <v>456</v>
      </c>
      <c r="H28" s="50">
        <f>IF(B6=2,(($B$7*$B$10)/40000)*$B28,0)</f>
        <v>562.5</v>
      </c>
      <c r="I28" s="50">
        <f>IF(B6=2,IF(B28=0,0,$B$7*$B$10*$B$13*0.02),0)</f>
        <v>600</v>
      </c>
      <c r="J28" s="87">
        <f>IF($B$6=2,IF($B$28=0,0,IF($B$6=2,((($B$9*2.31+20)*450*$B$10*0.2)/(3960*$K$12))*$B$7,((($B$9*2.31+20)*450*$B$10/10*$B$12)/(3960*$K$12))*$B$7)),0)</f>
        <v>5968.3166409861324</v>
      </c>
      <c r="K28" s="50">
        <f>IF($B$6=2,IF($B$28=0,0,IF($B$6=2,((($B$9*2.31+20)*450*$B$10/5*$B$12)/(3960*$K$12))*$B$7,((($B$9*2.31+20)*450*$B$10/10*$B$12)/(3960*$K$12))*$B$7)),0)</f>
        <v>477.46533127889063</v>
      </c>
      <c r="L28" s="66">
        <f>SUM(E28:K28)</f>
        <v>8619.2819722650238</v>
      </c>
      <c r="M28" s="3"/>
    </row>
    <row r="29" spans="1:26">
      <c r="A29" s="58" t="str">
        <f>IF($B$14=0," ","Water Charge")</f>
        <v xml:space="preserve"> </v>
      </c>
      <c r="B29" s="58"/>
      <c r="C29" s="57"/>
      <c r="D29" s="57"/>
      <c r="E29" s="52"/>
      <c r="F29" s="52"/>
      <c r="G29" s="52"/>
      <c r="H29" s="53"/>
      <c r="I29" s="53"/>
      <c r="J29" s="53"/>
      <c r="K29" s="50"/>
      <c r="L29" s="66">
        <f>$B$7*$B$10/12*$B$14</f>
        <v>0</v>
      </c>
      <c r="M29" s="3"/>
    </row>
    <row r="30" spans="1:26">
      <c r="A30" s="58" t="s">
        <v>2</v>
      </c>
      <c r="B30" s="57"/>
      <c r="C30" s="57"/>
      <c r="D30" s="57"/>
      <c r="E30" s="52"/>
      <c r="F30" s="49">
        <f>$B$7*$E$17</f>
        <v>2500</v>
      </c>
      <c r="G30" s="52"/>
      <c r="H30" s="53"/>
      <c r="I30" s="53"/>
      <c r="J30" s="53"/>
      <c r="K30" s="50"/>
      <c r="L30" s="66">
        <f>F30</f>
        <v>2500</v>
      </c>
      <c r="M30" s="3"/>
    </row>
    <row r="31" spans="1:26">
      <c r="A31" s="58" t="s">
        <v>29</v>
      </c>
      <c r="B31" s="61">
        <f>SUM(B22:B29)</f>
        <v>55963</v>
      </c>
      <c r="C31" s="61"/>
      <c r="D31" s="61">
        <f t="shared" ref="D31:I31" si="2">SUM(D22:D29)</f>
        <v>1148.1500000000001</v>
      </c>
      <c r="E31" s="49">
        <f t="shared" si="2"/>
        <v>1427.7787499999999</v>
      </c>
      <c r="F31" s="49">
        <f t="shared" si="2"/>
        <v>754.63</v>
      </c>
      <c r="G31" s="49">
        <f t="shared" si="2"/>
        <v>2310.0583333333334</v>
      </c>
      <c r="H31" s="50">
        <f t="shared" si="2"/>
        <v>2106.4989288254119</v>
      </c>
      <c r="I31" s="50">
        <f t="shared" si="2"/>
        <v>2730</v>
      </c>
      <c r="J31" s="50"/>
      <c r="K31" s="50">
        <f>SUM(K22:K29)</f>
        <v>6211.1376839985214</v>
      </c>
      <c r="L31" s="66">
        <f>SUM(L22:L30)</f>
        <v>24008.420337143398</v>
      </c>
      <c r="M31" s="3"/>
    </row>
    <row r="32" spans="1:26" ht="13.5" thickBot="1">
      <c r="A32" s="3"/>
      <c r="B32" s="3"/>
      <c r="C32" s="3"/>
      <c r="D32" s="3"/>
      <c r="E32" s="3"/>
      <c r="F32" s="3"/>
      <c r="G32" s="3"/>
      <c r="H32" s="3"/>
      <c r="I32" s="3"/>
      <c r="J32" s="3"/>
      <c r="K32" s="3"/>
      <c r="L32" s="3"/>
    </row>
    <row r="33" spans="1:13">
      <c r="A33" s="104" t="s">
        <v>72</v>
      </c>
      <c r="B33" s="13"/>
      <c r="C33" s="13"/>
      <c r="D33" s="13"/>
      <c r="E33" s="99"/>
      <c r="F33" s="75"/>
      <c r="G33" s="31" t="s">
        <v>22</v>
      </c>
      <c r="H33" s="32"/>
      <c r="I33" s="33" t="s">
        <v>21</v>
      </c>
      <c r="J33" s="33"/>
      <c r="K33" s="34"/>
      <c r="L33" s="110" t="s">
        <v>64</v>
      </c>
      <c r="M33" s="3"/>
    </row>
    <row r="34" spans="1:13">
      <c r="A34" s="85" t="s">
        <v>65</v>
      </c>
      <c r="B34" s="3"/>
      <c r="C34" s="3"/>
      <c r="D34" s="3"/>
      <c r="E34" s="101"/>
      <c r="F34" s="76"/>
      <c r="G34" s="27"/>
      <c r="H34" s="28"/>
      <c r="I34" s="30"/>
      <c r="J34" s="30"/>
      <c r="K34" s="35"/>
      <c r="L34" s="111"/>
      <c r="M34" s="3"/>
    </row>
    <row r="35" spans="1:13">
      <c r="A35" s="100" t="s">
        <v>69</v>
      </c>
      <c r="B35" s="3"/>
      <c r="C35" s="3"/>
      <c r="D35" s="3"/>
      <c r="E35" s="101"/>
      <c r="F35" s="77" t="s">
        <v>34</v>
      </c>
      <c r="G35" s="43">
        <f>SUM(E22:E28)+SUM(F22:F28)+SUM(G22:G28)+F30</f>
        <v>6992.467083333333</v>
      </c>
      <c r="H35" s="29"/>
      <c r="I35" s="44">
        <f>SUM(H22:H28)+SUM(I22:I28)+SUM(K22:K28)+L29</f>
        <v>11047.636612823933</v>
      </c>
      <c r="J35" s="44"/>
      <c r="K35" s="40"/>
      <c r="L35" s="63">
        <f>G35+I35</f>
        <v>18040.103696157268</v>
      </c>
      <c r="M35" s="3"/>
    </row>
    <row r="36" spans="1:13">
      <c r="A36" s="85" t="s">
        <v>66</v>
      </c>
      <c r="B36" s="3"/>
      <c r="C36" s="3"/>
      <c r="D36" s="3"/>
      <c r="E36" s="101"/>
      <c r="F36" s="77" t="s">
        <v>3</v>
      </c>
      <c r="G36" s="41">
        <f>G35/$B$7</f>
        <v>55.939736666666661</v>
      </c>
      <c r="H36" s="29"/>
      <c r="I36" s="42">
        <f>I35/$B$7</f>
        <v>88.381092902591462</v>
      </c>
      <c r="J36" s="42"/>
      <c r="K36" s="40"/>
      <c r="L36" s="64">
        <f>G36+I36</f>
        <v>144.32082956925814</v>
      </c>
      <c r="M36" s="3"/>
    </row>
    <row r="37" spans="1:13" ht="13.5" thickBot="1">
      <c r="A37" s="100" t="s">
        <v>73</v>
      </c>
      <c r="B37" s="3"/>
      <c r="C37" s="3"/>
      <c r="D37" s="3"/>
      <c r="E37" s="101"/>
      <c r="F37" s="78" t="s">
        <v>0</v>
      </c>
      <c r="G37" s="36">
        <f>G35/($B$10*$B$7)</f>
        <v>3.7293157777777775</v>
      </c>
      <c r="H37" s="37"/>
      <c r="I37" s="38">
        <f>I35/($B$10*$B$7)</f>
        <v>5.8920728601727648</v>
      </c>
      <c r="J37" s="38"/>
      <c r="K37" s="39"/>
      <c r="L37" s="65">
        <f>G37+I37</f>
        <v>9.6213886379505418</v>
      </c>
      <c r="M37" s="3"/>
    </row>
    <row r="38" spans="1:13">
      <c r="A38" s="85" t="s">
        <v>67</v>
      </c>
      <c r="B38" s="3"/>
      <c r="C38" s="3"/>
      <c r="D38" s="3"/>
      <c r="E38" s="101"/>
      <c r="F38" s="3"/>
      <c r="G38" s="3"/>
      <c r="H38" s="3"/>
      <c r="I38" s="3"/>
      <c r="J38" s="3"/>
      <c r="K38" s="3"/>
      <c r="L38" s="3"/>
      <c r="M38" s="3"/>
    </row>
    <row r="39" spans="1:13">
      <c r="A39" s="100" t="s">
        <v>74</v>
      </c>
      <c r="B39" s="3"/>
      <c r="C39" s="3"/>
      <c r="D39" s="3"/>
      <c r="E39" s="101"/>
      <c r="F39" s="3"/>
      <c r="G39" s="3"/>
      <c r="H39" s="3"/>
      <c r="I39" s="3"/>
      <c r="J39" s="3"/>
      <c r="K39" s="3"/>
      <c r="L39" s="3"/>
    </row>
    <row r="40" spans="1:13" ht="13.5" thickBot="1">
      <c r="A40" s="86" t="s">
        <v>68</v>
      </c>
      <c r="B40" s="102"/>
      <c r="C40" s="102"/>
      <c r="D40" s="102"/>
      <c r="E40" s="103"/>
      <c r="F40" s="3"/>
    </row>
    <row r="41" spans="1:13">
      <c r="A41" s="92"/>
      <c r="B41" s="3"/>
      <c r="C41" s="3"/>
      <c r="D41" s="3"/>
      <c r="E41" s="3"/>
    </row>
    <row r="42" spans="1:13">
      <c r="A42" s="93"/>
    </row>
    <row r="45" spans="1:13">
      <c r="F45" s="1"/>
    </row>
    <row r="47" spans="1:13">
      <c r="F47" s="5"/>
    </row>
  </sheetData>
  <sheetProtection password="DF99" sheet="1" objects="1" scenarios="1" formatColumns="0"/>
  <mergeCells count="9">
    <mergeCell ref="A1:L1"/>
    <mergeCell ref="D10:L10"/>
    <mergeCell ref="L33:L34"/>
    <mergeCell ref="L20:L21"/>
    <mergeCell ref="E7:K7"/>
    <mergeCell ref="A2:C2"/>
    <mergeCell ref="V17:Y17"/>
    <mergeCell ref="V5:Y5"/>
    <mergeCell ref="E6:K6"/>
  </mergeCells>
  <phoneticPr fontId="4" type="noConversion"/>
  <conditionalFormatting sqref="F18:G18 D18">
    <cfRule type="expression" dxfId="5" priority="1" stopIfTrue="1">
      <formula>$B$11=5</formula>
    </cfRule>
    <cfRule type="expression" dxfId="4" priority="2" stopIfTrue="1">
      <formula>$B$11&lt;5</formula>
    </cfRule>
  </conditionalFormatting>
  <conditionalFormatting sqref="C18 E18">
    <cfRule type="expression" dxfId="3" priority="3" stopIfTrue="1">
      <formula>$B$11=5</formula>
    </cfRule>
    <cfRule type="expression" dxfId="2" priority="4" stopIfTrue="1">
      <formula>$B$11&lt;5</formula>
    </cfRule>
  </conditionalFormatting>
  <conditionalFormatting sqref="B18">
    <cfRule type="expression" dxfId="1" priority="5" stopIfTrue="1">
      <formula>$B$11=5</formula>
    </cfRule>
    <cfRule type="expression" dxfId="0" priority="6" stopIfTrue="1">
      <formula>$B$11&lt;5</formula>
    </cfRule>
  </conditionalFormatting>
  <pageMargins left="0.25" right="0.25" top="0.5" bottom="0.5" header="0" footer="0"/>
  <pageSetup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Diesel Pivot</vt:lpstr>
      <vt:lpstr>Nat Gas Pivot</vt:lpstr>
      <vt:lpstr>LP Pivot</vt:lpstr>
      <vt:lpstr>Elect Pivot</vt:lpstr>
      <vt:lpstr>Diesel Gated</vt:lpstr>
      <vt:lpstr>Nat Gas Gated</vt:lpstr>
      <vt:lpstr>LP Gated </vt:lpstr>
      <vt:lpstr>Elect Gated</vt:lpstr>
      <vt:lpstr>'Diesel Gated'!Print_Area</vt:lpstr>
      <vt:lpstr>'Diesel Pivot'!Print_Area</vt:lpstr>
      <vt:lpstr>'Elect Gated'!Print_Area</vt:lpstr>
      <vt:lpstr>'Elect Pivot'!Print_Area</vt:lpstr>
      <vt:lpstr>'LP Gated '!Print_Area</vt:lpstr>
      <vt:lpstr>'LP Pivot'!Print_Area</vt:lpstr>
      <vt:lpstr>'Nat Gas Gated'!Print_Area</vt:lpstr>
      <vt:lpstr>'Nat Gas Pivot'!Print_Area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dc:creator>
  <cp:lastModifiedBy>tdorn1</cp:lastModifiedBy>
  <cp:lastPrinted>2009-02-07T13:30:57Z</cp:lastPrinted>
  <dcterms:created xsi:type="dcterms:W3CDTF">2001-02-14T17:25:15Z</dcterms:created>
  <dcterms:modified xsi:type="dcterms:W3CDTF">2013-04-10T12:37:57Z</dcterms:modified>
</cp:coreProperties>
</file>